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Objects="placeholders" updateLinks="never" codeName="ThisWorkbook"/>
  <mc:AlternateContent xmlns:mc="http://schemas.openxmlformats.org/markup-compatibility/2006">
    <mc:Choice Requires="x15">
      <x15ac:absPath xmlns:x15ac="http://schemas.microsoft.com/office/spreadsheetml/2010/11/ac" url="G:\CFO Files\Budget\BUDGET FY 2023\"/>
    </mc:Choice>
  </mc:AlternateContent>
  <xr:revisionPtr revIDLastSave="0" documentId="13_ncr:1_{331E6551-0766-47B5-899B-1819CD7F3838}" xr6:coauthVersionLast="47" xr6:coauthVersionMax="47" xr10:uidLastSave="{00000000-0000-0000-0000-000000000000}"/>
  <workbookProtection workbookAlgorithmName="SHA-512" workbookHashValue="rUzoSBTxQK6ci0XebDYcZMPeEpyw3rl02dlY9y1uLEvcz6PDAPYypUQRH1qWKUYeDHWE6oYAgmRw9qcjgLu+Wg==" workbookSaltValue="3ceCMdXpLBIxWB1ILpQ9vg==" workbookSpinCount="100000" lockStructure="1"/>
  <bookViews>
    <workbookView xWindow="-120" yWindow="-120" windowWidth="25440" windowHeight="15390" tabRatio="865" xr2:uid="{00000000-000D-0000-FFFF-FFFF00000000}"/>
  </bookViews>
  <sheets>
    <sheet name="Cover" sheetId="70" r:id="rId1"/>
    <sheet name="District Dropdown" sheetId="101" state="hidden" r:id="rId2"/>
    <sheet name="BudgetSum 2-4" sheetId="73" r:id="rId3"/>
    <sheet name="CashSum 5" sheetId="97" r:id="rId4"/>
    <sheet name="EstRev 6-11" sheetId="14" r:id="rId5"/>
    <sheet name="EstExp 12-20" sheetId="30" r:id="rId6"/>
    <sheet name="Itemize 21" sheetId="84" r:id="rId7"/>
    <sheet name="DeficitBudgetSum Calc 22" sheetId="93" r:id="rId8"/>
    <sheet name="DefReductPlan 23-27" sheetId="89" r:id="rId9"/>
    <sheet name="Bckgrnd-Assumpt 28-29" sheetId="95" r:id="rId10"/>
    <sheet name="AC 30" sheetId="99" r:id="rId11"/>
    <sheet name="VendContract 31" sheetId="94" r:id="rId12"/>
    <sheet name="Ref 32" sheetId="81" r:id="rId13"/>
    <sheet name="Balancing" sheetId="76" r:id="rId14"/>
    <sheet name="B23" sheetId="87" state="hidden" r:id="rId15"/>
  </sheets>
  <definedNames>
    <definedName name="_xlnm._FilterDatabase" localSheetId="14" hidden="1">'B23'!$A$1:$E$8000</definedName>
    <definedName name="_xlnm._FilterDatabase" localSheetId="1" hidden="1">'District Dropdown'!$M$1:$M$995</definedName>
    <definedName name="ChosenDistrict">Cover!$H$13</definedName>
    <definedName name="DashedRCDTHidden">Cover!$P$14</definedName>
    <definedName name="_xlnm.Print_Area" localSheetId="13">Balancing!$A$1:$C$56</definedName>
    <definedName name="_xlnm.Print_Area" localSheetId="9">'Bckgrnd-Assumpt 28-29'!$A$1:$B$35</definedName>
    <definedName name="_xlnm.Print_Area" localSheetId="2">'BudgetSum 2-4'!$A$1:$L$132</definedName>
    <definedName name="_xlnm.Print_Area" localSheetId="3">'CashSum 5'!$A$1:$K$37</definedName>
    <definedName name="_xlnm.Print_Area" localSheetId="0">Cover!$A$1:$U$72</definedName>
    <definedName name="_xlnm.Print_Area" localSheetId="7">'DeficitBudgetSum Calc 22'!$A$1:$G$15</definedName>
    <definedName name="_xlnm.Print_Area" localSheetId="8">'DefReductPlan 23-27'!$A$1:$Z$27</definedName>
    <definedName name="_xlnm.Print_Area" localSheetId="5">'EstExp 12-20'!$B$1:$L$454</definedName>
    <definedName name="_xlnm.Print_Titles" localSheetId="2">'BudgetSum 2-4'!$1:$2</definedName>
    <definedName name="_xlnm.Print_Titles" localSheetId="8">'DefReductPlan 23-27'!$A:$B</definedName>
    <definedName name="_xlnm.Print_Titles" localSheetId="5">'EstExp 12-20'!$1:$2</definedName>
    <definedName name="_xlnm.Print_Titles" localSheetId="4">'EstRev 6-11'!$1:$2</definedName>
    <definedName name="SCHADDRS">#REF!</definedName>
    <definedName name="SCHCTY">#REF!</definedName>
    <definedName name="SCHNMBR">#REF!</definedName>
    <definedName name="SCHNME">#REF!</definedName>
    <definedName name="School_District">Table1[School District]</definedName>
    <definedName name="SUPT">#REF!</definedName>
    <definedName name="validation_list" comment="For Dist Name autocomplete dropdown on Cover tab (cell G13)">OFFSET('District Dropdown'!$J$2,,,COUNTIF('District Dropdown'!$J$2:$J$995,"?*"))</definedName>
    <definedName name="Z_3A864784_2CF4_47E7_9698_97A2E9BA97D9_.wvu.Cols" localSheetId="1" hidden="1">'District Dropdown'!$O:$V</definedName>
    <definedName name="Z_8245A0A0_8911_4934_9A9B_B83065EDCD65_.wvu.Cols" localSheetId="1" hidden="1">'District Dropdown'!#REF!,'District Dropdown'!$W:$AD</definedName>
    <definedName name="Z_8245A0A0_8911_4934_9A9B_B83065EDCD65_.wvu.FilterData" localSheetId="1" hidden="1">'District Dropdown'!$B$2:$AE$854</definedName>
    <definedName name="Z_8245A0A0_8911_4934_9A9B_B83065EDCD65_.wvu.Rows" localSheetId="1" hidden="1">'District Dropdown'!$1:$1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9" i="14" l="1"/>
  <c r="I3" i="97" l="1"/>
  <c r="H3" i="97"/>
  <c r="G3" i="97"/>
  <c r="F3" i="97"/>
  <c r="E3" i="97"/>
  <c r="D3" i="97"/>
  <c r="J3" i="97"/>
  <c r="C3" i="97"/>
  <c r="H7" i="14"/>
  <c r="H5" i="14"/>
  <c r="G5" i="14"/>
  <c r="F5" i="14"/>
  <c r="E97" i="14"/>
  <c r="E5" i="14"/>
  <c r="K5" i="14"/>
  <c r="D79" i="14"/>
  <c r="D74" i="14"/>
  <c r="D267" i="14"/>
  <c r="D109" i="14"/>
  <c r="D7" i="14"/>
  <c r="D5" i="14"/>
  <c r="B3" i="70"/>
  <c r="B2" i="70"/>
  <c r="P14" i="70" l="1"/>
  <c r="H14" i="70" l="1"/>
  <c r="Y13" i="70" l="1"/>
  <c r="N24" i="70"/>
  <c r="C11" i="76"/>
  <c r="C12" i="76" l="1"/>
  <c r="H27" i="70" l="1"/>
  <c r="E24" i="70"/>
  <c r="E3" i="101" l="1"/>
  <c r="E4" i="101"/>
  <c r="E5" i="101"/>
  <c r="E6" i="101"/>
  <c r="E7" i="101"/>
  <c r="E8" i="101"/>
  <c r="E9" i="101"/>
  <c r="E10" i="101"/>
  <c r="E11" i="101"/>
  <c r="E12" i="101"/>
  <c r="E13" i="101"/>
  <c r="E14" i="101"/>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262" i="101"/>
  <c r="E263" i="101"/>
  <c r="E264" i="101"/>
  <c r="E265" i="101"/>
  <c r="E266" i="101"/>
  <c r="E267" i="101"/>
  <c r="E268" i="101"/>
  <c r="E269" i="101"/>
  <c r="E270" i="101"/>
  <c r="E271" i="101"/>
  <c r="E272" i="101"/>
  <c r="E273" i="101"/>
  <c r="E274" i="101"/>
  <c r="E275" i="101"/>
  <c r="E276" i="101"/>
  <c r="E277" i="101"/>
  <c r="E278" i="101"/>
  <c r="E279" i="101"/>
  <c r="E280" i="101"/>
  <c r="E281" i="101"/>
  <c r="E282" i="101"/>
  <c r="E283" i="101"/>
  <c r="E284" i="101"/>
  <c r="E285" i="101"/>
  <c r="E286" i="101"/>
  <c r="E287" i="101"/>
  <c r="E288" i="101"/>
  <c r="E289" i="101"/>
  <c r="E290" i="101"/>
  <c r="E291" i="101"/>
  <c r="E292" i="101"/>
  <c r="E293" i="101"/>
  <c r="E294" i="101"/>
  <c r="E295" i="101"/>
  <c r="E296" i="101"/>
  <c r="E297" i="101"/>
  <c r="E298" i="101"/>
  <c r="E299" i="101"/>
  <c r="E300" i="101"/>
  <c r="E301" i="101"/>
  <c r="E302" i="101"/>
  <c r="E303" i="101"/>
  <c r="E304" i="101"/>
  <c r="E305" i="101"/>
  <c r="E306" i="101"/>
  <c r="E307" i="101"/>
  <c r="E308" i="101"/>
  <c r="E309" i="101"/>
  <c r="E310" i="101"/>
  <c r="E311" i="101"/>
  <c r="E312" i="101"/>
  <c r="E313" i="101"/>
  <c r="E314" i="101"/>
  <c r="E315" i="101"/>
  <c r="E316" i="101"/>
  <c r="E317" i="101"/>
  <c r="E318" i="101"/>
  <c r="E319" i="101"/>
  <c r="E320" i="101"/>
  <c r="E321" i="101"/>
  <c r="E322" i="101"/>
  <c r="E323" i="101"/>
  <c r="E324" i="101"/>
  <c r="E325" i="101"/>
  <c r="E326" i="101"/>
  <c r="E327" i="101"/>
  <c r="E328" i="101"/>
  <c r="E329" i="101"/>
  <c r="E330" i="101"/>
  <c r="E331" i="101"/>
  <c r="E332" i="101"/>
  <c r="E333" i="101"/>
  <c r="E334" i="101"/>
  <c r="E335" i="101"/>
  <c r="E336" i="101"/>
  <c r="E337" i="101"/>
  <c r="E338" i="101"/>
  <c r="E339" i="101"/>
  <c r="E340" i="101"/>
  <c r="E341" i="101"/>
  <c r="E342" i="101"/>
  <c r="E343" i="101"/>
  <c r="E344" i="101"/>
  <c r="E345" i="101"/>
  <c r="E346" i="101"/>
  <c r="E347" i="101"/>
  <c r="E348" i="101"/>
  <c r="E349" i="101"/>
  <c r="E350" i="101"/>
  <c r="E351" i="101"/>
  <c r="E352" i="101"/>
  <c r="E353" i="101"/>
  <c r="E354" i="101"/>
  <c r="E355" i="101"/>
  <c r="E356" i="101"/>
  <c r="E357" i="101"/>
  <c r="E358" i="101"/>
  <c r="E359" i="101"/>
  <c r="E360" i="101"/>
  <c r="E361" i="101"/>
  <c r="E362" i="101"/>
  <c r="E363" i="101"/>
  <c r="E364" i="101"/>
  <c r="E365" i="101"/>
  <c r="E366" i="101"/>
  <c r="E367" i="101"/>
  <c r="E368" i="101"/>
  <c r="E369" i="101"/>
  <c r="E370" i="101"/>
  <c r="E371" i="101"/>
  <c r="E372" i="101"/>
  <c r="E373" i="101"/>
  <c r="E374" i="101"/>
  <c r="E375" i="101"/>
  <c r="E376" i="101"/>
  <c r="E377" i="101"/>
  <c r="E378" i="101"/>
  <c r="E379" i="101"/>
  <c r="E380" i="101"/>
  <c r="E381" i="101"/>
  <c r="E382" i="101"/>
  <c r="E383" i="101"/>
  <c r="E384" i="101"/>
  <c r="E385" i="101"/>
  <c r="E386" i="101"/>
  <c r="E387" i="101"/>
  <c r="E388" i="101"/>
  <c r="E389" i="101"/>
  <c r="E390" i="101"/>
  <c r="E391" i="101"/>
  <c r="E392" i="101"/>
  <c r="E393" i="101"/>
  <c r="E394" i="101"/>
  <c r="E395" i="101"/>
  <c r="E396" i="101"/>
  <c r="E397" i="101"/>
  <c r="E398" i="101"/>
  <c r="E399" i="101"/>
  <c r="E400" i="101"/>
  <c r="E401" i="101"/>
  <c r="E402" i="101"/>
  <c r="E403" i="101"/>
  <c r="E404" i="101"/>
  <c r="E405" i="101"/>
  <c r="E406" i="101"/>
  <c r="E407" i="101"/>
  <c r="E408" i="101"/>
  <c r="E409" i="101"/>
  <c r="E410" i="101"/>
  <c r="E411" i="101"/>
  <c r="E412" i="101"/>
  <c r="E413" i="101"/>
  <c r="E414" i="101"/>
  <c r="E415" i="101"/>
  <c r="E416" i="101"/>
  <c r="E417" i="101"/>
  <c r="E418" i="101"/>
  <c r="E419" i="101"/>
  <c r="E420" i="101"/>
  <c r="E421" i="101"/>
  <c r="E422" i="101"/>
  <c r="E423" i="101"/>
  <c r="E424" i="101"/>
  <c r="E425" i="101"/>
  <c r="E426" i="101"/>
  <c r="E427" i="101"/>
  <c r="E428" i="101"/>
  <c r="E429" i="101"/>
  <c r="E430" i="101"/>
  <c r="E431" i="101"/>
  <c r="E432" i="101"/>
  <c r="E433" i="101"/>
  <c r="E434" i="101"/>
  <c r="E435" i="101"/>
  <c r="E436" i="101"/>
  <c r="E437" i="101"/>
  <c r="E438" i="101"/>
  <c r="E439" i="101"/>
  <c r="E440" i="101"/>
  <c r="E441" i="101"/>
  <c r="E442" i="101"/>
  <c r="E443" i="101"/>
  <c r="E444" i="101"/>
  <c r="E445" i="101"/>
  <c r="E446" i="101"/>
  <c r="E447" i="101"/>
  <c r="E448" i="101"/>
  <c r="E449" i="101"/>
  <c r="E450" i="101"/>
  <c r="E451" i="101"/>
  <c r="E452" i="101"/>
  <c r="E453" i="101"/>
  <c r="E454" i="101"/>
  <c r="E455" i="101"/>
  <c r="E456" i="101"/>
  <c r="E457" i="101"/>
  <c r="E458" i="101"/>
  <c r="E459" i="101"/>
  <c r="E460" i="101"/>
  <c r="E461" i="101"/>
  <c r="E462" i="101"/>
  <c r="E463" i="101"/>
  <c r="E464" i="101"/>
  <c r="E465" i="101"/>
  <c r="E466" i="101"/>
  <c r="E467" i="101"/>
  <c r="E468" i="101"/>
  <c r="E469" i="101"/>
  <c r="E470" i="101"/>
  <c r="E471" i="101"/>
  <c r="E472" i="101"/>
  <c r="E473" i="101"/>
  <c r="E474" i="101"/>
  <c r="E475" i="101"/>
  <c r="E476" i="101"/>
  <c r="E477" i="101"/>
  <c r="E478" i="101"/>
  <c r="E479" i="101"/>
  <c r="E480" i="101"/>
  <c r="E481" i="101"/>
  <c r="E482" i="101"/>
  <c r="E483" i="101"/>
  <c r="E484" i="101"/>
  <c r="E485" i="101"/>
  <c r="E486" i="101"/>
  <c r="E487" i="101"/>
  <c r="E488" i="101"/>
  <c r="E489" i="101"/>
  <c r="E490" i="101"/>
  <c r="E491" i="101"/>
  <c r="E492" i="101"/>
  <c r="E493" i="101"/>
  <c r="E494" i="101"/>
  <c r="E495" i="101"/>
  <c r="E496" i="101"/>
  <c r="E497" i="101"/>
  <c r="E498" i="101"/>
  <c r="E499" i="101"/>
  <c r="E500" i="101"/>
  <c r="E501" i="101"/>
  <c r="E502" i="101"/>
  <c r="E503" i="101"/>
  <c r="E504" i="101"/>
  <c r="E505" i="101"/>
  <c r="E506" i="101"/>
  <c r="E507" i="101"/>
  <c r="E508" i="101"/>
  <c r="E509" i="101"/>
  <c r="E510" i="101"/>
  <c r="E511" i="101"/>
  <c r="E512" i="101"/>
  <c r="E513" i="101"/>
  <c r="E514" i="101"/>
  <c r="E515" i="101"/>
  <c r="E516" i="101"/>
  <c r="E517" i="101"/>
  <c r="E518" i="101"/>
  <c r="E519" i="101"/>
  <c r="E520" i="101"/>
  <c r="E521" i="101"/>
  <c r="E522" i="101"/>
  <c r="E523" i="101"/>
  <c r="E524" i="101"/>
  <c r="E525" i="101"/>
  <c r="E526" i="101"/>
  <c r="E527" i="101"/>
  <c r="E528" i="101"/>
  <c r="E529" i="101"/>
  <c r="E530" i="101"/>
  <c r="E531" i="101"/>
  <c r="E532" i="101"/>
  <c r="E533" i="101"/>
  <c r="E534" i="101"/>
  <c r="E535" i="101"/>
  <c r="E536" i="101"/>
  <c r="E537" i="101"/>
  <c r="E538" i="101"/>
  <c r="E539" i="101"/>
  <c r="E540" i="101"/>
  <c r="E541" i="101"/>
  <c r="E542" i="101"/>
  <c r="E543" i="101"/>
  <c r="E544" i="101"/>
  <c r="E545" i="101"/>
  <c r="E546" i="101"/>
  <c r="E547" i="101"/>
  <c r="E548" i="101"/>
  <c r="E549" i="101"/>
  <c r="E550" i="101"/>
  <c r="E551" i="101"/>
  <c r="E552" i="101"/>
  <c r="E553" i="101"/>
  <c r="E554" i="101"/>
  <c r="E555" i="101"/>
  <c r="E556" i="101"/>
  <c r="E557" i="101"/>
  <c r="E558" i="101"/>
  <c r="E559" i="101"/>
  <c r="E560" i="101"/>
  <c r="E561" i="101"/>
  <c r="E562" i="101"/>
  <c r="E563" i="101"/>
  <c r="E564" i="101"/>
  <c r="E565" i="101"/>
  <c r="E566" i="101"/>
  <c r="E567" i="101"/>
  <c r="E568" i="101"/>
  <c r="E569" i="101"/>
  <c r="E570" i="101"/>
  <c r="E571" i="101"/>
  <c r="E572" i="101"/>
  <c r="E573" i="101"/>
  <c r="E574" i="101"/>
  <c r="E575" i="101"/>
  <c r="E576" i="101"/>
  <c r="E577" i="101"/>
  <c r="E578" i="101"/>
  <c r="E579" i="101"/>
  <c r="E580" i="101"/>
  <c r="E581" i="101"/>
  <c r="E582" i="101"/>
  <c r="E583" i="101"/>
  <c r="E584" i="101"/>
  <c r="E585" i="101"/>
  <c r="E586" i="101"/>
  <c r="E587" i="101"/>
  <c r="E588" i="101"/>
  <c r="E589" i="101"/>
  <c r="E590" i="101"/>
  <c r="E591" i="101"/>
  <c r="E592" i="101"/>
  <c r="E593" i="101"/>
  <c r="E594" i="101"/>
  <c r="E595" i="101"/>
  <c r="E596" i="101"/>
  <c r="E597" i="101"/>
  <c r="E598" i="101"/>
  <c r="E599" i="101"/>
  <c r="E600" i="101"/>
  <c r="E601" i="101"/>
  <c r="E602" i="101"/>
  <c r="E603" i="101"/>
  <c r="E604" i="101"/>
  <c r="E605" i="101"/>
  <c r="E606" i="101"/>
  <c r="E607" i="101"/>
  <c r="E608" i="101"/>
  <c r="E609" i="101"/>
  <c r="E610" i="101"/>
  <c r="E611" i="101"/>
  <c r="E612" i="101"/>
  <c r="E613" i="101"/>
  <c r="E614" i="101"/>
  <c r="E615" i="101"/>
  <c r="E616" i="101"/>
  <c r="E617" i="101"/>
  <c r="E618" i="101"/>
  <c r="E619" i="101"/>
  <c r="E620" i="101"/>
  <c r="E621" i="101"/>
  <c r="E622" i="101"/>
  <c r="E623" i="101"/>
  <c r="E624" i="101"/>
  <c r="E625" i="101"/>
  <c r="E626" i="101"/>
  <c r="E627" i="101"/>
  <c r="E628" i="101"/>
  <c r="E629" i="101"/>
  <c r="E630" i="101"/>
  <c r="E631" i="101"/>
  <c r="E632" i="101"/>
  <c r="E633" i="101"/>
  <c r="E634" i="101"/>
  <c r="E635" i="101"/>
  <c r="E636" i="101"/>
  <c r="E637" i="101"/>
  <c r="E638" i="101"/>
  <c r="E639" i="101"/>
  <c r="E640" i="101"/>
  <c r="E641" i="101"/>
  <c r="E642" i="101"/>
  <c r="E643" i="101"/>
  <c r="E644" i="101"/>
  <c r="E645" i="101"/>
  <c r="E646" i="101"/>
  <c r="E647" i="101"/>
  <c r="E648" i="101"/>
  <c r="E649" i="101"/>
  <c r="E650" i="101"/>
  <c r="E651" i="101"/>
  <c r="E652" i="101"/>
  <c r="E653" i="101"/>
  <c r="E654" i="101"/>
  <c r="E655" i="101"/>
  <c r="E656" i="101"/>
  <c r="E657" i="101"/>
  <c r="E658" i="101"/>
  <c r="E659" i="101"/>
  <c r="E660" i="101"/>
  <c r="E661" i="101"/>
  <c r="E662" i="101"/>
  <c r="E663" i="101"/>
  <c r="E664" i="101"/>
  <c r="E665" i="101"/>
  <c r="E666" i="101"/>
  <c r="E667" i="101"/>
  <c r="E668" i="101"/>
  <c r="E669" i="101"/>
  <c r="E670" i="101"/>
  <c r="E671" i="101"/>
  <c r="E672" i="101"/>
  <c r="E673" i="101"/>
  <c r="E674" i="101"/>
  <c r="E675" i="101"/>
  <c r="E676" i="101"/>
  <c r="E677" i="101"/>
  <c r="E678" i="101"/>
  <c r="E679" i="101"/>
  <c r="E680" i="101"/>
  <c r="E681" i="101"/>
  <c r="E682" i="101"/>
  <c r="E683" i="101"/>
  <c r="E684" i="101"/>
  <c r="E685" i="101"/>
  <c r="E686" i="101"/>
  <c r="E687" i="101"/>
  <c r="E688" i="101"/>
  <c r="E689" i="101"/>
  <c r="E690" i="101"/>
  <c r="E691" i="101"/>
  <c r="E692" i="101"/>
  <c r="E693" i="101"/>
  <c r="E694" i="101"/>
  <c r="E695" i="101"/>
  <c r="E696" i="101"/>
  <c r="E697" i="101"/>
  <c r="E698" i="101"/>
  <c r="E699" i="101"/>
  <c r="E700" i="101"/>
  <c r="E701" i="101"/>
  <c r="E702" i="101"/>
  <c r="E703" i="101"/>
  <c r="E704" i="101"/>
  <c r="E705" i="101"/>
  <c r="E706" i="101"/>
  <c r="E707" i="101"/>
  <c r="E708" i="101"/>
  <c r="E709" i="101"/>
  <c r="E710" i="101"/>
  <c r="E711" i="101"/>
  <c r="E712" i="101"/>
  <c r="E713" i="101"/>
  <c r="E714" i="101"/>
  <c r="E715" i="101"/>
  <c r="E716" i="101"/>
  <c r="E717" i="101"/>
  <c r="E718" i="101"/>
  <c r="E719" i="101"/>
  <c r="E720" i="101"/>
  <c r="E721" i="101"/>
  <c r="E722" i="101"/>
  <c r="E723" i="101"/>
  <c r="E724" i="101"/>
  <c r="E725" i="101"/>
  <c r="E726" i="101"/>
  <c r="E727" i="101"/>
  <c r="E728" i="101"/>
  <c r="E729" i="101"/>
  <c r="E730" i="101"/>
  <c r="E731" i="101"/>
  <c r="E732" i="101"/>
  <c r="E733" i="101"/>
  <c r="E734" i="101"/>
  <c r="E735" i="101"/>
  <c r="E736" i="101"/>
  <c r="E737" i="101"/>
  <c r="E738" i="101"/>
  <c r="E739" i="101"/>
  <c r="E740" i="101"/>
  <c r="E741" i="101"/>
  <c r="E742" i="101"/>
  <c r="E743" i="101"/>
  <c r="E744" i="101"/>
  <c r="E745" i="101"/>
  <c r="E746" i="101"/>
  <c r="E747" i="101"/>
  <c r="E748" i="101"/>
  <c r="E749" i="101"/>
  <c r="E750" i="101"/>
  <c r="E751" i="101"/>
  <c r="E752" i="101"/>
  <c r="E753" i="101"/>
  <c r="E754" i="101"/>
  <c r="E755" i="101"/>
  <c r="E756" i="101"/>
  <c r="E757" i="101"/>
  <c r="E758" i="101"/>
  <c r="E759" i="101"/>
  <c r="E760" i="101"/>
  <c r="E761" i="101"/>
  <c r="E762" i="101"/>
  <c r="E763" i="101"/>
  <c r="E764" i="101"/>
  <c r="E765" i="101"/>
  <c r="E766" i="101"/>
  <c r="E767" i="101"/>
  <c r="E768" i="101"/>
  <c r="E769" i="101"/>
  <c r="E770" i="101"/>
  <c r="E771" i="101"/>
  <c r="E772" i="101"/>
  <c r="E773" i="101"/>
  <c r="E774" i="101"/>
  <c r="E775" i="101"/>
  <c r="E776" i="101"/>
  <c r="E777" i="101"/>
  <c r="E778" i="101"/>
  <c r="E779" i="101"/>
  <c r="E780" i="101"/>
  <c r="E781" i="101"/>
  <c r="E782" i="101"/>
  <c r="E783" i="101"/>
  <c r="E784" i="101"/>
  <c r="E785" i="101"/>
  <c r="E786" i="101"/>
  <c r="E787" i="101"/>
  <c r="E788" i="101"/>
  <c r="E789" i="101"/>
  <c r="E790" i="101"/>
  <c r="E791" i="101"/>
  <c r="E792" i="101"/>
  <c r="E793" i="101"/>
  <c r="E794" i="101"/>
  <c r="E795" i="101"/>
  <c r="E796" i="101"/>
  <c r="E797" i="101"/>
  <c r="E798" i="101"/>
  <c r="E799" i="101"/>
  <c r="E800" i="101"/>
  <c r="E801" i="101"/>
  <c r="E802" i="101"/>
  <c r="E803" i="101"/>
  <c r="E804" i="101"/>
  <c r="E805" i="101"/>
  <c r="E806" i="101"/>
  <c r="E807" i="101"/>
  <c r="E808" i="101"/>
  <c r="E809" i="101"/>
  <c r="E810" i="101"/>
  <c r="E811" i="101"/>
  <c r="E812" i="101"/>
  <c r="E813" i="101"/>
  <c r="E814" i="101"/>
  <c r="E815" i="101"/>
  <c r="E816" i="101"/>
  <c r="E817" i="101"/>
  <c r="E818" i="101"/>
  <c r="E819" i="101"/>
  <c r="E820" i="101"/>
  <c r="E821" i="101"/>
  <c r="E822" i="101"/>
  <c r="E823" i="101"/>
  <c r="E824" i="101"/>
  <c r="E825" i="101"/>
  <c r="E826" i="101"/>
  <c r="E827" i="101"/>
  <c r="E828" i="101"/>
  <c r="E829" i="101"/>
  <c r="E830" i="101"/>
  <c r="E831" i="101"/>
  <c r="E832" i="101"/>
  <c r="E833" i="101"/>
  <c r="E834" i="101"/>
  <c r="E835" i="101"/>
  <c r="E836" i="101"/>
  <c r="E837" i="101"/>
  <c r="E838" i="101"/>
  <c r="E839" i="101"/>
  <c r="E840" i="101"/>
  <c r="E841" i="101"/>
  <c r="E842" i="101"/>
  <c r="E843" i="101"/>
  <c r="E844" i="101"/>
  <c r="E845" i="101"/>
  <c r="E846" i="101"/>
  <c r="E847" i="101"/>
  <c r="E848" i="101"/>
  <c r="E849" i="101"/>
  <c r="E850" i="101"/>
  <c r="E851" i="101"/>
  <c r="E852" i="101"/>
  <c r="E853" i="101"/>
  <c r="E854" i="101"/>
  <c r="E855" i="101"/>
  <c r="E856" i="101"/>
  <c r="E857" i="101"/>
  <c r="E858" i="101"/>
  <c r="E859" i="101"/>
  <c r="E860" i="101"/>
  <c r="E861" i="101"/>
  <c r="E862" i="101"/>
  <c r="E863" i="101"/>
  <c r="E864" i="101"/>
  <c r="E865" i="101"/>
  <c r="E866" i="101"/>
  <c r="E867" i="101"/>
  <c r="E868" i="101"/>
  <c r="E869" i="101"/>
  <c r="E870" i="101"/>
  <c r="E871" i="101"/>
  <c r="E872" i="101"/>
  <c r="E873" i="101"/>
  <c r="E874" i="101"/>
  <c r="E875" i="101"/>
  <c r="E876" i="101"/>
  <c r="E877" i="101"/>
  <c r="E878" i="101"/>
  <c r="E879" i="101"/>
  <c r="E880" i="101"/>
  <c r="E881" i="101"/>
  <c r="E882" i="101"/>
  <c r="E883" i="101"/>
  <c r="E884" i="101"/>
  <c r="E885" i="101"/>
  <c r="E886" i="101"/>
  <c r="E887" i="101"/>
  <c r="E888" i="101"/>
  <c r="E889" i="101"/>
  <c r="E890" i="101"/>
  <c r="E891" i="101"/>
  <c r="E892" i="101"/>
  <c r="E893" i="101"/>
  <c r="E894" i="101"/>
  <c r="E895" i="101"/>
  <c r="E896" i="101"/>
  <c r="E897" i="101"/>
  <c r="E898" i="101"/>
  <c r="E899" i="101"/>
  <c r="E900" i="101"/>
  <c r="E901" i="101"/>
  <c r="E902" i="101"/>
  <c r="E903" i="101"/>
  <c r="E904" i="101"/>
  <c r="E905" i="101"/>
  <c r="E906" i="101"/>
  <c r="E907" i="101"/>
  <c r="E908" i="101"/>
  <c r="E909" i="101"/>
  <c r="E910" i="101"/>
  <c r="E911" i="101"/>
  <c r="E912" i="101"/>
  <c r="E913" i="101"/>
  <c r="E914" i="101"/>
  <c r="E915" i="101"/>
  <c r="E916" i="101"/>
  <c r="E917" i="101"/>
  <c r="E918" i="101"/>
  <c r="E919" i="101"/>
  <c r="E920" i="101"/>
  <c r="E921" i="101"/>
  <c r="E922" i="101"/>
  <c r="E923" i="101"/>
  <c r="E924" i="101"/>
  <c r="E925" i="101"/>
  <c r="E926" i="101"/>
  <c r="E927" i="101"/>
  <c r="E928" i="101"/>
  <c r="E929" i="101"/>
  <c r="E930" i="101"/>
  <c r="E931" i="101"/>
  <c r="E932" i="101"/>
  <c r="E933" i="101"/>
  <c r="E934" i="101"/>
  <c r="E935" i="101"/>
  <c r="E936" i="101"/>
  <c r="E937" i="101"/>
  <c r="E938" i="101"/>
  <c r="E939" i="101"/>
  <c r="E940" i="101"/>
  <c r="E941" i="101"/>
  <c r="E942" i="101"/>
  <c r="E943" i="101"/>
  <c r="E944" i="101"/>
  <c r="E945" i="101"/>
  <c r="E946" i="101"/>
  <c r="E947" i="101"/>
  <c r="E948" i="101"/>
  <c r="E949" i="101"/>
  <c r="E950" i="101"/>
  <c r="E951" i="101"/>
  <c r="E952" i="101"/>
  <c r="E953" i="101"/>
  <c r="E954" i="101"/>
  <c r="E955" i="101"/>
  <c r="E956" i="101"/>
  <c r="E957" i="101"/>
  <c r="E958" i="101"/>
  <c r="E959" i="101"/>
  <c r="E960" i="101"/>
  <c r="E961" i="101"/>
  <c r="E962" i="101"/>
  <c r="E963" i="101"/>
  <c r="E964" i="101"/>
  <c r="E965" i="101"/>
  <c r="E966" i="101"/>
  <c r="E967" i="101"/>
  <c r="E968" i="101"/>
  <c r="E969" i="101"/>
  <c r="E970" i="101"/>
  <c r="E971" i="101"/>
  <c r="E972" i="101"/>
  <c r="E973" i="101"/>
  <c r="E974" i="101"/>
  <c r="E975" i="101"/>
  <c r="E976" i="101"/>
  <c r="E977" i="101"/>
  <c r="E978" i="101"/>
  <c r="E979" i="101"/>
  <c r="E980" i="101"/>
  <c r="E981" i="101"/>
  <c r="E982" i="101"/>
  <c r="E983" i="101"/>
  <c r="E984" i="101"/>
  <c r="E985" i="101"/>
  <c r="E986" i="101"/>
  <c r="E987" i="101"/>
  <c r="E988" i="101"/>
  <c r="E989" i="101"/>
  <c r="E990" i="101"/>
  <c r="E991" i="101"/>
  <c r="E992" i="101"/>
  <c r="E993" i="101"/>
  <c r="E994" i="101"/>
  <c r="E995" i="101"/>
  <c r="E996" i="101"/>
  <c r="F25" i="76" l="1"/>
  <c r="F36" i="76"/>
  <c r="F46" i="76"/>
  <c r="F49" i="76"/>
  <c r="F51" i="76"/>
  <c r="F53" i="76"/>
  <c r="B7854" i="87" l="1"/>
  <c r="B7853" i="87"/>
  <c r="C7853" i="87" s="1"/>
  <c r="B7852" i="87"/>
  <c r="C7852" i="87" s="1"/>
  <c r="B7851" i="87"/>
  <c r="C7851" i="87" s="1"/>
  <c r="B7850" i="87"/>
  <c r="C7850" i="87" s="1"/>
  <c r="B7849" i="87"/>
  <c r="C7849" i="87" s="1"/>
  <c r="B7848" i="87"/>
  <c r="C7848" i="87" s="1"/>
  <c r="B7847" i="87"/>
  <c r="C7847" i="87" s="1"/>
  <c r="B7865" i="87"/>
  <c r="C7865" i="87" s="1"/>
  <c r="B7864" i="87"/>
  <c r="C7864" i="87" s="1"/>
  <c r="B7862" i="87"/>
  <c r="C7862" i="87" s="1"/>
  <c r="B7860" i="87"/>
  <c r="C7860" i="87" s="1"/>
  <c r="B7858" i="87"/>
  <c r="C7858" i="87" s="1"/>
  <c r="B7856" i="87"/>
  <c r="C7856" i="87" s="1"/>
  <c r="C7854" i="87"/>
  <c r="L373" i="30" l="1"/>
  <c r="B7855" i="87" s="1"/>
  <c r="C7855" i="87" s="1"/>
  <c r="H173" i="84"/>
  <c r="H168" i="84" l="1"/>
  <c r="H169" i="84"/>
  <c r="H153" i="84"/>
  <c r="H146" i="84"/>
  <c r="F426" i="30"/>
  <c r="B7867" i="87" s="1"/>
  <c r="C7867" i="87" s="1"/>
  <c r="I426" i="30"/>
  <c r="L423" i="30"/>
  <c r="B7861" i="87" s="1"/>
  <c r="C7861" i="87" s="1"/>
  <c r="L424" i="30"/>
  <c r="L425" i="30"/>
  <c r="L421" i="30"/>
  <c r="B7859" i="87" s="1"/>
  <c r="C7859" i="87" s="1"/>
  <c r="L419" i="30"/>
  <c r="B7857" i="87" s="1"/>
  <c r="C7857" i="87" s="1"/>
  <c r="G168" i="84" l="1"/>
  <c r="B168" i="84" s="1"/>
  <c r="C168" i="84" s="1"/>
  <c r="B7863" i="87"/>
  <c r="C7863" i="87" s="1"/>
  <c r="G169" i="84"/>
  <c r="A169" i="84" s="1"/>
  <c r="B7866" i="87"/>
  <c r="C7866" i="87" s="1"/>
  <c r="E169" i="84" l="1"/>
  <c r="A168" i="84"/>
  <c r="E168" i="84"/>
  <c r="B169" i="84"/>
  <c r="C169" i="84" s="1"/>
  <c r="B13" i="93"/>
  <c r="J4" i="87" l="1"/>
  <c r="B5" i="87" s="1"/>
  <c r="J3" i="87"/>
  <c r="B4" i="87" s="1"/>
  <c r="C13" i="76" l="1"/>
  <c r="F13" i="76" s="1"/>
  <c r="C14" i="76"/>
  <c r="F14" i="76" s="1"/>
  <c r="B7846" i="87" l="1"/>
  <c r="C7846" i="87" s="1"/>
  <c r="A2" i="101" l="1"/>
  <c r="G5" i="70"/>
  <c r="E16" i="70" l="1"/>
  <c r="C16" i="70"/>
  <c r="H5" i="99"/>
  <c r="B25" i="99"/>
  <c r="A5" i="99" l="1"/>
  <c r="I14" i="99" l="1"/>
  <c r="E14" i="99"/>
  <c r="B3" i="95"/>
  <c r="R3" i="89"/>
  <c r="B2" i="95"/>
  <c r="C3" i="89"/>
  <c r="W6" i="89"/>
  <c r="X6" i="89"/>
  <c r="Y6" i="89"/>
  <c r="Z6" i="89"/>
  <c r="H3" i="89"/>
  <c r="M3" i="89"/>
  <c r="F4" i="87"/>
  <c r="H4" i="87"/>
  <c r="B8" i="93" l="1"/>
  <c r="B6" i="93"/>
  <c r="A118" i="73" l="1"/>
  <c r="A91" i="73"/>
  <c r="A89" i="73"/>
  <c r="A83" i="73" l="1"/>
  <c r="A81" i="73"/>
  <c r="N25" i="70"/>
  <c r="K5" i="70"/>
  <c r="I25" i="70"/>
  <c r="F11" i="76" l="1"/>
  <c r="F12" i="76"/>
  <c r="C16" i="76"/>
  <c r="F16" i="76" s="1"/>
  <c r="C17" i="76"/>
  <c r="F17" i="76" s="1"/>
  <c r="C35" i="76"/>
  <c r="F35" i="76" s="1"/>
  <c r="B3" i="87" l="1"/>
  <c r="C32" i="76" l="1"/>
  <c r="F32" i="76" s="1"/>
  <c r="C31" i="76"/>
  <c r="F31" i="76" s="1"/>
  <c r="C30" i="76"/>
  <c r="F30" i="76" s="1"/>
  <c r="C29" i="76"/>
  <c r="F29" i="76" s="1"/>
  <c r="C28" i="76"/>
  <c r="F28" i="76" s="1"/>
  <c r="C27" i="76"/>
  <c r="F27" i="76" s="1"/>
  <c r="C26" i="76"/>
  <c r="F26" i="76" s="1"/>
  <c r="C33" i="76"/>
  <c r="F33" i="76" s="1"/>
  <c r="C34" i="76"/>
  <c r="F34" i="76" s="1"/>
  <c r="C47" i="76"/>
  <c r="F47" i="76" s="1"/>
  <c r="C48" i="76"/>
  <c r="F48" i="76" s="1"/>
  <c r="C24" i="76"/>
  <c r="F24" i="76" s="1"/>
  <c r="C23" i="76"/>
  <c r="F23" i="76" s="1"/>
  <c r="C22" i="76"/>
  <c r="F22" i="76" s="1"/>
  <c r="C21" i="76"/>
  <c r="F21" i="76" s="1"/>
  <c r="C20" i="76"/>
  <c r="F20" i="76" s="1"/>
  <c r="C19" i="76"/>
  <c r="F19" i="76" s="1"/>
  <c r="C18" i="76"/>
  <c r="F18" i="76" s="1"/>
  <c r="H9" i="84" l="1"/>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3" i="84"/>
  <c r="H134" i="84"/>
  <c r="H135" i="84"/>
  <c r="H136" i="84"/>
  <c r="H137" i="84"/>
  <c r="H138" i="84"/>
  <c r="H139" i="84"/>
  <c r="H140" i="84"/>
  <c r="H141" i="84"/>
  <c r="H142" i="84"/>
  <c r="H143" i="84"/>
  <c r="H144" i="84"/>
  <c r="H145" i="84"/>
  <c r="H147" i="84"/>
  <c r="H148" i="84"/>
  <c r="H149" i="84"/>
  <c r="H150" i="84"/>
  <c r="H151" i="84"/>
  <c r="H152" i="84"/>
  <c r="H154" i="84"/>
  <c r="H155" i="84"/>
  <c r="H156" i="84"/>
  <c r="H157" i="84"/>
  <c r="H158" i="84"/>
  <c r="H159" i="84"/>
  <c r="H160" i="84"/>
  <c r="H161" i="84"/>
  <c r="H162" i="84"/>
  <c r="H163" i="84"/>
  <c r="H164" i="84"/>
  <c r="H165" i="84"/>
  <c r="H166" i="84"/>
  <c r="H167" i="84"/>
  <c r="H170" i="84"/>
  <c r="H171" i="84"/>
  <c r="H172" i="84"/>
  <c r="H8" i="84"/>
  <c r="H175" i="84" l="1"/>
  <c r="A3" i="101"/>
  <c r="A4" i="101" l="1"/>
  <c r="A5" i="101" l="1"/>
  <c r="A6" i="101" s="1"/>
  <c r="A7" i="101" s="1"/>
  <c r="G131" i="84"/>
  <c r="B131" i="84" s="1"/>
  <c r="G130" i="84"/>
  <c r="B130" i="84" s="1"/>
  <c r="G129" i="84"/>
  <c r="B129" i="84" s="1"/>
  <c r="G128" i="84"/>
  <c r="B128" i="84" s="1"/>
  <c r="G127" i="84"/>
  <c r="B127" i="84" s="1"/>
  <c r="G126" i="84"/>
  <c r="B126" i="84" s="1"/>
  <c r="G125" i="84"/>
  <c r="B125" i="84" s="1"/>
  <c r="G124" i="84"/>
  <c r="B124" i="84" s="1"/>
  <c r="G123" i="84"/>
  <c r="B123" i="84" s="1"/>
  <c r="G122" i="84"/>
  <c r="B122" i="84" s="1"/>
  <c r="G121" i="84"/>
  <c r="B121" i="84" s="1"/>
  <c r="G120" i="84"/>
  <c r="B120" i="84" s="1"/>
  <c r="G119" i="84"/>
  <c r="B119" i="84" s="1"/>
  <c r="G118" i="84"/>
  <c r="B118" i="84" s="1"/>
  <c r="G117" i="84"/>
  <c r="B117" i="84" s="1"/>
  <c r="G116" i="84"/>
  <c r="B116" i="84" s="1"/>
  <c r="G115" i="84"/>
  <c r="B115" i="84" s="1"/>
  <c r="G114" i="84"/>
  <c r="B114" i="84" s="1"/>
  <c r="G113" i="84"/>
  <c r="B113" i="84" s="1"/>
  <c r="G112" i="84"/>
  <c r="B112" i="84" s="1"/>
  <c r="G111" i="84"/>
  <c r="B111" i="84" s="1"/>
  <c r="G110" i="84"/>
  <c r="B110" i="84" s="1"/>
  <c r="G109" i="84"/>
  <c r="B109" i="84" s="1"/>
  <c r="G108" i="84"/>
  <c r="B108" i="84" s="1"/>
  <c r="G107" i="84"/>
  <c r="B107" i="84" s="1"/>
  <c r="G106" i="84"/>
  <c r="B106" i="84" s="1"/>
  <c r="G105" i="84"/>
  <c r="B105" i="84" s="1"/>
  <c r="G104" i="84"/>
  <c r="B104" i="84" s="1"/>
  <c r="G103" i="84"/>
  <c r="B103" i="84" s="1"/>
  <c r="G102" i="84"/>
  <c r="B102" i="84" s="1"/>
  <c r="G101" i="84"/>
  <c r="B101" i="84" s="1"/>
  <c r="G100" i="84"/>
  <c r="B100" i="84" s="1"/>
  <c r="G99" i="84"/>
  <c r="B99" i="84" s="1"/>
  <c r="G98" i="84"/>
  <c r="B98" i="84" s="1"/>
  <c r="G97" i="84"/>
  <c r="B97" i="84" s="1"/>
  <c r="G96" i="84"/>
  <c r="B96" i="84" s="1"/>
  <c r="G95" i="84"/>
  <c r="B95" i="84" s="1"/>
  <c r="G94" i="84"/>
  <c r="B94" i="84" s="1"/>
  <c r="G93" i="84"/>
  <c r="B93" i="84" s="1"/>
  <c r="G92" i="84"/>
  <c r="B92" i="84" s="1"/>
  <c r="G91" i="84"/>
  <c r="B91" i="84" s="1"/>
  <c r="G90" i="84"/>
  <c r="B90" i="84" s="1"/>
  <c r="G89" i="84"/>
  <c r="B89" i="84" s="1"/>
  <c r="G88" i="84"/>
  <c r="B88" i="84" s="1"/>
  <c r="G87" i="84"/>
  <c r="B87" i="84" s="1"/>
  <c r="G86" i="84"/>
  <c r="B86" i="84" s="1"/>
  <c r="G85" i="84"/>
  <c r="B85" i="84" s="1"/>
  <c r="G84" i="84"/>
  <c r="B84" i="84" s="1"/>
  <c r="G83" i="84"/>
  <c r="B83" i="84" s="1"/>
  <c r="G82" i="84"/>
  <c r="B82" i="84" s="1"/>
  <c r="G81" i="84"/>
  <c r="B81" i="84" s="1"/>
  <c r="G80" i="84"/>
  <c r="B80" i="84" s="1"/>
  <c r="G79" i="84"/>
  <c r="B79" i="84" s="1"/>
  <c r="G78" i="84"/>
  <c r="B78" i="84" s="1"/>
  <c r="G77" i="84"/>
  <c r="B77" i="84" s="1"/>
  <c r="G76" i="84"/>
  <c r="B76" i="84" s="1"/>
  <c r="G75" i="84"/>
  <c r="B75" i="84" s="1"/>
  <c r="G74" i="84"/>
  <c r="B74" i="84" s="1"/>
  <c r="G73" i="84"/>
  <c r="B73" i="84" s="1"/>
  <c r="G72" i="84"/>
  <c r="B72" i="84" s="1"/>
  <c r="G71" i="84"/>
  <c r="B71" i="84" s="1"/>
  <c r="G70" i="84"/>
  <c r="B70" i="84" s="1"/>
  <c r="G69" i="84"/>
  <c r="B69" i="84" s="1"/>
  <c r="G68" i="84"/>
  <c r="B68" i="84" s="1"/>
  <c r="G67" i="84"/>
  <c r="B67" i="84" s="1"/>
  <c r="G66" i="84"/>
  <c r="B66" i="84" s="1"/>
  <c r="G65" i="84"/>
  <c r="B65" i="84" s="1"/>
  <c r="G64" i="84"/>
  <c r="B64" i="84" s="1"/>
  <c r="G63" i="84"/>
  <c r="B63" i="84" s="1"/>
  <c r="G62" i="84"/>
  <c r="B62" i="84" s="1"/>
  <c r="G61" i="84"/>
  <c r="B61" i="84" s="1"/>
  <c r="G60" i="84"/>
  <c r="B60" i="84" s="1"/>
  <c r="G59" i="84"/>
  <c r="B59" i="84" s="1"/>
  <c r="G58" i="84"/>
  <c r="B58" i="84" s="1"/>
  <c r="G57" i="84"/>
  <c r="B57" i="84" s="1"/>
  <c r="G56" i="84"/>
  <c r="B56" i="84" s="1"/>
  <c r="G55" i="84"/>
  <c r="B55" i="84" s="1"/>
  <c r="G54" i="84"/>
  <c r="B54" i="84" s="1"/>
  <c r="G52" i="84"/>
  <c r="B52" i="84" s="1"/>
  <c r="G53" i="84"/>
  <c r="B53" i="84" s="1"/>
  <c r="G51" i="84"/>
  <c r="B51" i="84" s="1"/>
  <c r="G50" i="84"/>
  <c r="B50" i="84" s="1"/>
  <c r="G49" i="84"/>
  <c r="B49" i="84" s="1"/>
  <c r="G48" i="84"/>
  <c r="B48" i="84" s="1"/>
  <c r="G47" i="84"/>
  <c r="B47" i="84" s="1"/>
  <c r="G46" i="84"/>
  <c r="B46" i="84" s="1"/>
  <c r="G45" i="84"/>
  <c r="B45" i="84" s="1"/>
  <c r="G44" i="84"/>
  <c r="B44" i="84" s="1"/>
  <c r="G43" i="84"/>
  <c r="B43" i="84" s="1"/>
  <c r="G42" i="84"/>
  <c r="B42" i="84" s="1"/>
  <c r="G41" i="84"/>
  <c r="B41" i="84" s="1"/>
  <c r="G40" i="84"/>
  <c r="B40" i="84" s="1"/>
  <c r="G39" i="84"/>
  <c r="B39" i="84" s="1"/>
  <c r="G38" i="84"/>
  <c r="B38" i="84" s="1"/>
  <c r="G37" i="84"/>
  <c r="B37" i="84" s="1"/>
  <c r="G36" i="84"/>
  <c r="B36" i="84" s="1"/>
  <c r="G35" i="84"/>
  <c r="B35" i="84" s="1"/>
  <c r="G34" i="84"/>
  <c r="B34" i="84" s="1"/>
  <c r="G33" i="84"/>
  <c r="B33" i="84" s="1"/>
  <c r="G32" i="84"/>
  <c r="B32" i="84" s="1"/>
  <c r="G31" i="84"/>
  <c r="B31" i="84" s="1"/>
  <c r="G30" i="84"/>
  <c r="B30" i="84" s="1"/>
  <c r="G29" i="84"/>
  <c r="B29" i="84" s="1"/>
  <c r="G28" i="84"/>
  <c r="B28" i="84" s="1"/>
  <c r="G27" i="84"/>
  <c r="B27" i="84" s="1"/>
  <c r="G26" i="84"/>
  <c r="B26" i="84" s="1"/>
  <c r="G25" i="84"/>
  <c r="B25" i="84" s="1"/>
  <c r="G24" i="84"/>
  <c r="B24" i="84" s="1"/>
  <c r="G23" i="84"/>
  <c r="B23" i="84" s="1"/>
  <c r="G22" i="84"/>
  <c r="B22" i="84" s="1"/>
  <c r="G21" i="84"/>
  <c r="B21" i="84" s="1"/>
  <c r="G20" i="84"/>
  <c r="B20" i="84" s="1"/>
  <c r="G19" i="84"/>
  <c r="B19" i="84" s="1"/>
  <c r="G18" i="84"/>
  <c r="B18" i="84" s="1"/>
  <c r="G17" i="84"/>
  <c r="B17" i="84" s="1"/>
  <c r="A102" i="84" l="1"/>
  <c r="C106" i="84"/>
  <c r="C108" i="84"/>
  <c r="A112" i="84"/>
  <c r="A114" i="84"/>
  <c r="C18" i="84"/>
  <c r="C20" i="84"/>
  <c r="C22" i="84"/>
  <c r="C24" i="84"/>
  <c r="A30" i="84"/>
  <c r="A64" i="84"/>
  <c r="C66" i="84"/>
  <c r="C68" i="84"/>
  <c r="A17" i="84"/>
  <c r="A19" i="84"/>
  <c r="C19" i="84"/>
  <c r="A21" i="84"/>
  <c r="A23" i="84"/>
  <c r="C23" i="84"/>
  <c r="A25" i="84"/>
  <c r="A27" i="84"/>
  <c r="A31" i="84"/>
  <c r="A43" i="84"/>
  <c r="C65" i="84"/>
  <c r="A67" i="84"/>
  <c r="C69" i="84"/>
  <c r="C105" i="84"/>
  <c r="C107" i="84"/>
  <c r="A8" i="101"/>
  <c r="A9" i="101" s="1"/>
  <c r="A129" i="84"/>
  <c r="A131" i="84"/>
  <c r="A126" i="84"/>
  <c r="A127" i="84"/>
  <c r="A130" i="84"/>
  <c r="A128" i="84"/>
  <c r="A124" i="84"/>
  <c r="A125" i="84"/>
  <c r="A123" i="84"/>
  <c r="A116" i="84"/>
  <c r="A110" i="84"/>
  <c r="A120" i="84"/>
  <c r="A117" i="84"/>
  <c r="A118" i="84"/>
  <c r="A121" i="84"/>
  <c r="A122" i="84"/>
  <c r="A111" i="84"/>
  <c r="A113" i="84"/>
  <c r="A115" i="84"/>
  <c r="A119" i="84"/>
  <c r="A109" i="84"/>
  <c r="A94" i="84"/>
  <c r="A98" i="84"/>
  <c r="A107" i="84"/>
  <c r="A95" i="84"/>
  <c r="A96" i="84"/>
  <c r="A99" i="84"/>
  <c r="A100" i="84"/>
  <c r="A105" i="84"/>
  <c r="A108" i="84"/>
  <c r="A87" i="84"/>
  <c r="A83" i="84"/>
  <c r="A88" i="84"/>
  <c r="A89" i="84"/>
  <c r="A90" i="84"/>
  <c r="A77" i="84"/>
  <c r="A84" i="84"/>
  <c r="A91" i="84"/>
  <c r="A79" i="84"/>
  <c r="A81" i="84"/>
  <c r="A85" i="84"/>
  <c r="A92" i="84"/>
  <c r="A104" i="84"/>
  <c r="A78" i="84"/>
  <c r="A82" i="84"/>
  <c r="A86" i="84"/>
  <c r="A93" i="84"/>
  <c r="A97" i="84"/>
  <c r="A101" i="84"/>
  <c r="A103" i="84"/>
  <c r="A80" i="84"/>
  <c r="A106" i="84"/>
  <c r="A76" i="84"/>
  <c r="A72" i="84"/>
  <c r="A68" i="84"/>
  <c r="A69" i="84"/>
  <c r="A70" i="84"/>
  <c r="A73" i="84"/>
  <c r="A74" i="84"/>
  <c r="A71" i="84"/>
  <c r="A75" i="84"/>
  <c r="A65" i="84"/>
  <c r="A61" i="84"/>
  <c r="A50" i="84"/>
  <c r="A57" i="84"/>
  <c r="A66" i="84"/>
  <c r="C67" i="84"/>
  <c r="A51" i="84"/>
  <c r="A54" i="84"/>
  <c r="A55" i="84"/>
  <c r="A58" i="84"/>
  <c r="A59" i="84"/>
  <c r="A62" i="84"/>
  <c r="A63" i="84"/>
  <c r="A52" i="84"/>
  <c r="A56" i="84"/>
  <c r="A60" i="84"/>
  <c r="A53" i="84"/>
  <c r="A44" i="84"/>
  <c r="A42" i="84"/>
  <c r="A48" i="84"/>
  <c r="A45" i="84"/>
  <c r="A46" i="84"/>
  <c r="A49" i="84"/>
  <c r="A34" i="84"/>
  <c r="A36" i="84"/>
  <c r="A38" i="84"/>
  <c r="A40" i="84"/>
  <c r="A33" i="84"/>
  <c r="A35" i="84"/>
  <c r="A37" i="84"/>
  <c r="A39" i="84"/>
  <c r="A41" i="84"/>
  <c r="A47" i="84"/>
  <c r="E41" i="84"/>
  <c r="A26" i="84"/>
  <c r="A28" i="84"/>
  <c r="A29" i="84"/>
  <c r="C31" i="84"/>
  <c r="A32" i="84"/>
  <c r="C17" i="84"/>
  <c r="C21" i="84"/>
  <c r="C25" i="84"/>
  <c r="A18" i="84"/>
  <c r="A20" i="84"/>
  <c r="A22" i="84"/>
  <c r="A24" i="84"/>
  <c r="G16" i="84"/>
  <c r="B16" i="84" s="1"/>
  <c r="G15" i="84"/>
  <c r="B15" i="84" s="1"/>
  <c r="G14" i="84"/>
  <c r="B14" i="84" s="1"/>
  <c r="A10" i="101" l="1"/>
  <c r="A15" i="84"/>
  <c r="A14" i="84"/>
  <c r="C16" i="84"/>
  <c r="A16" i="84"/>
  <c r="G13" i="84"/>
  <c r="B13" i="84" s="1"/>
  <c r="G12" i="84"/>
  <c r="B12" i="84" s="1"/>
  <c r="G11" i="84"/>
  <c r="B11" i="84" s="1"/>
  <c r="A11" i="101" l="1"/>
  <c r="A11" i="84"/>
  <c r="A13" i="84"/>
  <c r="A12" i="84"/>
  <c r="G10" i="84"/>
  <c r="B10" i="84" s="1"/>
  <c r="A12" i="101" l="1"/>
  <c r="A10" i="84"/>
  <c r="C10" i="84"/>
  <c r="C11" i="84"/>
  <c r="C12" i="84"/>
  <c r="C13" i="84"/>
  <c r="C14" i="84"/>
  <c r="C15" i="84"/>
  <c r="C26" i="84"/>
  <c r="C27" i="84"/>
  <c r="C28" i="84"/>
  <c r="C29" i="84"/>
  <c r="C30" i="84"/>
  <c r="C32" i="84"/>
  <c r="C33" i="84"/>
  <c r="C34" i="84"/>
  <c r="C35" i="84"/>
  <c r="C36" i="84"/>
  <c r="C37" i="84"/>
  <c r="C38" i="84"/>
  <c r="C39" i="84"/>
  <c r="C40" i="84"/>
  <c r="C41" i="84"/>
  <c r="C42" i="84"/>
  <c r="C43" i="84"/>
  <c r="C44" i="84"/>
  <c r="C45" i="84"/>
  <c r="C46" i="84"/>
  <c r="C47" i="84"/>
  <c r="C48" i="84"/>
  <c r="C49" i="84"/>
  <c r="C50" i="84"/>
  <c r="C51" i="84"/>
  <c r="C52" i="84"/>
  <c r="C53" i="84"/>
  <c r="C54" i="84"/>
  <c r="C55" i="84"/>
  <c r="C56" i="84"/>
  <c r="C57" i="84"/>
  <c r="C58" i="84"/>
  <c r="C59" i="84"/>
  <c r="C60" i="84"/>
  <c r="C61" i="84"/>
  <c r="C62" i="84"/>
  <c r="C63" i="84"/>
  <c r="C64" i="84"/>
  <c r="C70" i="84"/>
  <c r="C71" i="84"/>
  <c r="C72" i="84"/>
  <c r="C73" i="84"/>
  <c r="C74" i="84"/>
  <c r="C75" i="84"/>
  <c r="C76" i="84"/>
  <c r="C77" i="84"/>
  <c r="C78" i="84"/>
  <c r="C79" i="84"/>
  <c r="C80" i="84"/>
  <c r="C81" i="84"/>
  <c r="C82" i="84"/>
  <c r="C83" i="84"/>
  <c r="C84" i="84"/>
  <c r="C85" i="84"/>
  <c r="C86" i="84"/>
  <c r="C87" i="84"/>
  <c r="C88" i="84"/>
  <c r="C89" i="84"/>
  <c r="C90" i="84"/>
  <c r="C91" i="84"/>
  <c r="C92" i="84"/>
  <c r="C93" i="84"/>
  <c r="C94" i="84"/>
  <c r="C95" i="84"/>
  <c r="C96" i="84"/>
  <c r="C97" i="84"/>
  <c r="C98" i="84"/>
  <c r="C99" i="84"/>
  <c r="C100" i="84"/>
  <c r="C101" i="84"/>
  <c r="C102" i="84"/>
  <c r="C103" i="84"/>
  <c r="C104" i="84"/>
  <c r="C109" i="84"/>
  <c r="C110" i="84"/>
  <c r="C111" i="84"/>
  <c r="C112" i="84"/>
  <c r="C113" i="84"/>
  <c r="C114" i="84"/>
  <c r="C115" i="84"/>
  <c r="C116" i="84"/>
  <c r="C117" i="84"/>
  <c r="C118" i="84"/>
  <c r="C119" i="84"/>
  <c r="C120" i="84"/>
  <c r="C121" i="84"/>
  <c r="C122" i="84"/>
  <c r="C123" i="84"/>
  <c r="C124" i="84"/>
  <c r="C125" i="84"/>
  <c r="C126" i="84"/>
  <c r="C127" i="84"/>
  <c r="C128" i="84"/>
  <c r="C129" i="84"/>
  <c r="C130" i="84"/>
  <c r="C131" i="84"/>
  <c r="E10" i="84"/>
  <c r="E11" i="84"/>
  <c r="E12" i="84"/>
  <c r="E13" i="84"/>
  <c r="E14" i="84"/>
  <c r="E15" i="84"/>
  <c r="E16" i="84"/>
  <c r="E17" i="84"/>
  <c r="E18" i="84"/>
  <c r="E19" i="84"/>
  <c r="E20" i="84"/>
  <c r="E21" i="84"/>
  <c r="E22" i="84"/>
  <c r="E23" i="84"/>
  <c r="E24" i="84"/>
  <c r="E25" i="84"/>
  <c r="E26" i="84"/>
  <c r="E27" i="84"/>
  <c r="E28" i="84"/>
  <c r="E29" i="84"/>
  <c r="E30" i="84"/>
  <c r="E31" i="84"/>
  <c r="E32" i="84"/>
  <c r="E33" i="84"/>
  <c r="E34" i="84"/>
  <c r="E35" i="84"/>
  <c r="E36" i="84"/>
  <c r="E37" i="84"/>
  <c r="E38" i="84"/>
  <c r="E39" i="84"/>
  <c r="E40" i="84"/>
  <c r="E42" i="84"/>
  <c r="E43" i="84"/>
  <c r="E44" i="84"/>
  <c r="E45" i="84"/>
  <c r="E46" i="84"/>
  <c r="E47" i="84"/>
  <c r="E48" i="84"/>
  <c r="E49" i="84"/>
  <c r="E50" i="84"/>
  <c r="E51" i="84"/>
  <c r="E52" i="84"/>
  <c r="E53" i="84"/>
  <c r="E54" i="84"/>
  <c r="E55" i="84"/>
  <c r="E56" i="84"/>
  <c r="E57" i="84"/>
  <c r="E58" i="84"/>
  <c r="E59" i="84"/>
  <c r="E60" i="84"/>
  <c r="E61" i="84"/>
  <c r="E62" i="84"/>
  <c r="E63" i="84"/>
  <c r="E64" i="84"/>
  <c r="E65" i="84"/>
  <c r="E66" i="84"/>
  <c r="E67" i="84"/>
  <c r="E68" i="84"/>
  <c r="E69" i="84"/>
  <c r="E70" i="84"/>
  <c r="E71" i="84"/>
  <c r="E72" i="84"/>
  <c r="E73" i="84"/>
  <c r="E74" i="84"/>
  <c r="E75" i="84"/>
  <c r="E76" i="84"/>
  <c r="E77" i="84"/>
  <c r="E78" i="84"/>
  <c r="E79" i="84"/>
  <c r="E80" i="84"/>
  <c r="E81" i="84"/>
  <c r="E82" i="84"/>
  <c r="E83" i="84"/>
  <c r="E84" i="84"/>
  <c r="E85" i="84"/>
  <c r="E86" i="84"/>
  <c r="E87" i="84"/>
  <c r="E88" i="84"/>
  <c r="E89" i="84"/>
  <c r="E90" i="84"/>
  <c r="E91" i="84"/>
  <c r="E92" i="84"/>
  <c r="E93" i="84"/>
  <c r="E94" i="84"/>
  <c r="E95" i="84"/>
  <c r="E96" i="84"/>
  <c r="E97" i="84"/>
  <c r="E98" i="84"/>
  <c r="E99" i="84"/>
  <c r="E100" i="84"/>
  <c r="E101" i="84"/>
  <c r="E102" i="84"/>
  <c r="E103" i="84"/>
  <c r="E104" i="84"/>
  <c r="E105" i="84"/>
  <c r="E106" i="84"/>
  <c r="E107" i="84"/>
  <c r="E108" i="84"/>
  <c r="E109" i="84"/>
  <c r="E110" i="84"/>
  <c r="E111" i="84"/>
  <c r="E112" i="84"/>
  <c r="E113" i="84"/>
  <c r="E114" i="84"/>
  <c r="E115" i="84"/>
  <c r="E116" i="84"/>
  <c r="E117" i="84"/>
  <c r="E118" i="84"/>
  <c r="E119" i="84"/>
  <c r="E120" i="84"/>
  <c r="E121" i="84"/>
  <c r="E122" i="84"/>
  <c r="E123" i="84"/>
  <c r="E124" i="84"/>
  <c r="E125" i="84"/>
  <c r="E126" i="84"/>
  <c r="E127" i="84"/>
  <c r="E128" i="84"/>
  <c r="E129" i="84"/>
  <c r="E130" i="84"/>
  <c r="E131" i="84"/>
  <c r="G9" i="84"/>
  <c r="G8" i="84"/>
  <c r="B8" i="84" s="1"/>
  <c r="B9" i="84" l="1"/>
  <c r="A9" i="84"/>
  <c r="A13" i="101"/>
  <c r="A14" i="101" s="1"/>
  <c r="A15" i="101" s="1"/>
  <c r="A16" i="101" s="1"/>
  <c r="A17" i="101" s="1"/>
  <c r="A18" i="101" s="1"/>
  <c r="A19" i="101" s="1"/>
  <c r="A20" i="101" s="1"/>
  <c r="A21" i="101" s="1"/>
  <c r="A8" i="84"/>
  <c r="E9" i="84"/>
  <c r="A22" i="101" l="1"/>
  <c r="A23" i="101" s="1"/>
  <c r="C9" i="84"/>
  <c r="L6" i="30"/>
  <c r="A24" i="101" l="1"/>
  <c r="C8" i="84"/>
  <c r="E8" i="84"/>
  <c r="A25" i="101" l="1"/>
  <c r="A26" i="101" l="1"/>
  <c r="E254" i="30"/>
  <c r="A27" i="101" l="1"/>
  <c r="J12" i="99"/>
  <c r="J11" i="99"/>
  <c r="H21" i="99"/>
  <c r="H20" i="99"/>
  <c r="H18" i="99"/>
  <c r="F24" i="99"/>
  <c r="E24" i="99"/>
  <c r="L23" i="99"/>
  <c r="H23" i="99"/>
  <c r="H22" i="99"/>
  <c r="A28" i="101" l="1"/>
  <c r="H19" i="99"/>
  <c r="H17" i="99"/>
  <c r="A29" i="101" l="1"/>
  <c r="H24" i="99"/>
  <c r="G24" i="99"/>
  <c r="A30" i="101" l="1"/>
  <c r="B7420" i="87"/>
  <c r="B7418" i="87"/>
  <c r="B7416" i="87"/>
  <c r="B7415" i="87"/>
  <c r="B7414" i="87"/>
  <c r="B7413" i="87"/>
  <c r="B7412" i="87"/>
  <c r="A31" i="101" l="1"/>
  <c r="A32" i="101" l="1"/>
  <c r="A33" i="101" s="1"/>
  <c r="A34" i="101" s="1"/>
  <c r="A35" i="101" s="1"/>
  <c r="A36" i="101" s="1"/>
  <c r="A37" i="101" s="1"/>
  <c r="A38" i="101" s="1"/>
  <c r="A39" i="101" s="1"/>
  <c r="A40" i="101" s="1"/>
  <c r="A41" i="101" s="1"/>
  <c r="A42" i="101" s="1"/>
  <c r="A43" i="101" s="1"/>
  <c r="A44" i="101" s="1"/>
  <c r="A45" i="101" s="1"/>
  <c r="A46" i="101" s="1"/>
  <c r="B7745" i="87"/>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A47" i="101" l="1"/>
  <c r="A48" i="101" s="1"/>
  <c r="A49" i="101" s="1"/>
  <c r="A50" i="101" s="1"/>
  <c r="A51" i="101" s="1"/>
  <c r="A52" i="101" s="1"/>
  <c r="A53" i="101" s="1"/>
  <c r="A54" i="101" s="1"/>
  <c r="A55" i="101" s="1"/>
  <c r="A56" i="101" s="1"/>
  <c r="A57" i="101" s="1"/>
  <c r="A58" i="101" s="1"/>
  <c r="A59" i="101" s="1"/>
  <c r="A60" i="101" s="1"/>
  <c r="A61" i="101" s="1"/>
  <c r="A62" i="101" s="1"/>
  <c r="A63" i="101" s="1"/>
  <c r="A64" i="101" s="1"/>
  <c r="A65" i="101" s="1"/>
  <c r="A66" i="101" s="1"/>
  <c r="A67" i="101" s="1"/>
  <c r="A68" i="101" s="1"/>
  <c r="A69" i="101" s="1"/>
  <c r="A70" i="101" s="1"/>
  <c r="A71" i="101" s="1"/>
  <c r="A72" i="101" s="1"/>
  <c r="A73" i="101" s="1"/>
  <c r="A74" i="101" s="1"/>
  <c r="A75" i="101" s="1"/>
  <c r="A76" i="101" s="1"/>
  <c r="A77" i="101" s="1"/>
  <c r="A78" i="101" s="1"/>
  <c r="A79" i="101" s="1"/>
  <c r="A80" i="101" s="1"/>
  <c r="A81" i="101" s="1"/>
  <c r="A82" i="101" s="1"/>
  <c r="A83" i="101" s="1"/>
  <c r="A84" i="101" s="1"/>
  <c r="A85" i="101" s="1"/>
  <c r="A86" i="101" s="1"/>
  <c r="A87" i="101" s="1"/>
  <c r="A88" i="101" s="1"/>
  <c r="A89" i="101" s="1"/>
  <c r="A90" i="101" s="1"/>
  <c r="A91" i="101" s="1"/>
  <c r="A92" i="101" s="1"/>
  <c r="A93" i="101" s="1"/>
  <c r="A94" i="101" s="1"/>
  <c r="A95" i="101" s="1"/>
  <c r="A96" i="101" s="1"/>
  <c r="A97" i="101" s="1"/>
  <c r="A98" i="101" s="1"/>
  <c r="A99" i="101" s="1"/>
  <c r="A100" i="101" s="1"/>
  <c r="A101" i="101" s="1"/>
  <c r="A102" i="101" s="1"/>
  <c r="A103" i="101" s="1"/>
  <c r="A104" i="101" s="1"/>
  <c r="A105" i="101" s="1"/>
  <c r="A106" i="101" s="1"/>
  <c r="A107" i="101" s="1"/>
  <c r="A108" i="101" s="1"/>
  <c r="A109" i="101" s="1"/>
  <c r="A110" i="101" s="1"/>
  <c r="A111" i="101" s="1"/>
  <c r="A112" i="101" s="1"/>
  <c r="A113" i="101" s="1"/>
  <c r="A114" i="101" s="1"/>
  <c r="A115" i="101" s="1"/>
  <c r="A116" i="101" s="1"/>
  <c r="A117" i="101" s="1"/>
  <c r="A118" i="101" s="1"/>
  <c r="A119" i="101" s="1"/>
  <c r="A120" i="101" s="1"/>
  <c r="A121" i="101" s="1"/>
  <c r="A122" i="101" s="1"/>
  <c r="A123" i="101" s="1"/>
  <c r="A124" i="101" s="1"/>
  <c r="A125" i="101" s="1"/>
  <c r="A126" i="101" s="1"/>
  <c r="A127" i="101" s="1"/>
  <c r="A128" i="101" s="1"/>
  <c r="A129" i="101" s="1"/>
  <c r="A130" i="101" s="1"/>
  <c r="A131" i="101" s="1"/>
  <c r="A132" i="101" s="1"/>
  <c r="A133" i="101" s="1"/>
  <c r="A134" i="101" s="1"/>
  <c r="A135" i="101" s="1"/>
  <c r="A136" i="101" s="1"/>
  <c r="A137" i="101" s="1"/>
  <c r="A138" i="101" s="1"/>
  <c r="A139" i="101" s="1"/>
  <c r="A140" i="101" s="1"/>
  <c r="A141" i="101" s="1"/>
  <c r="A142" i="101" s="1"/>
  <c r="A143" i="101" s="1"/>
  <c r="A144" i="101" s="1"/>
  <c r="A145" i="101" s="1"/>
  <c r="A146" i="101" s="1"/>
  <c r="A147" i="101" s="1"/>
  <c r="A148" i="101" s="1"/>
  <c r="A149" i="101" s="1"/>
  <c r="A150" i="101" s="1"/>
  <c r="A151" i="101" s="1"/>
  <c r="A152" i="101" s="1"/>
  <c r="A153" i="101" s="1"/>
  <c r="A154" i="101" s="1"/>
  <c r="A155" i="101" s="1"/>
  <c r="A156" i="101" s="1"/>
  <c r="A157" i="101" s="1"/>
  <c r="A158" i="101" s="1"/>
  <c r="A159" i="101" s="1"/>
  <c r="A160" i="101" s="1"/>
  <c r="A161" i="101" s="1"/>
  <c r="A162" i="101" s="1"/>
  <c r="A163" i="101" s="1"/>
  <c r="A164" i="101" s="1"/>
  <c r="A165" i="101" s="1"/>
  <c r="A166" i="101" s="1"/>
  <c r="A167" i="101" s="1"/>
  <c r="A168" i="101" s="1"/>
  <c r="A169" i="101" s="1"/>
  <c r="A170" i="101" s="1"/>
  <c r="A171" i="101" s="1"/>
  <c r="A172" i="101" s="1"/>
  <c r="A173" i="101" s="1"/>
  <c r="A174" i="101" s="1"/>
  <c r="A175" i="101" s="1"/>
  <c r="A176" i="101" s="1"/>
  <c r="A177" i="101" s="1"/>
  <c r="A178" i="101" s="1"/>
  <c r="A179" i="101" s="1"/>
  <c r="A180" i="101" s="1"/>
  <c r="A181" i="101" s="1"/>
  <c r="A182" i="101" s="1"/>
  <c r="A183" i="101" s="1"/>
  <c r="A184" i="101" s="1"/>
  <c r="A185" i="101" s="1"/>
  <c r="A186" i="101" s="1"/>
  <c r="A187" i="101" s="1"/>
  <c r="A188" i="101" s="1"/>
  <c r="A189" i="101" s="1"/>
  <c r="A190" i="101" s="1"/>
  <c r="A191" i="101" s="1"/>
  <c r="A192" i="101" s="1"/>
  <c r="A193" i="101" s="1"/>
  <c r="A194" i="101" s="1"/>
  <c r="A195" i="101" s="1"/>
  <c r="A196" i="101" s="1"/>
  <c r="A197" i="101" s="1"/>
  <c r="A198" i="101" s="1"/>
  <c r="A199" i="101" s="1"/>
  <c r="A200" i="101" s="1"/>
  <c r="A201" i="101" s="1"/>
  <c r="A202" i="101" s="1"/>
  <c r="A203" i="101" s="1"/>
  <c r="A204" i="101" s="1"/>
  <c r="A205" i="101" s="1"/>
  <c r="A206" i="101" s="1"/>
  <c r="A207" i="101" s="1"/>
  <c r="A208" i="101" s="1"/>
  <c r="A209" i="101" s="1"/>
  <c r="A210" i="101" s="1"/>
  <c r="A211" i="101" s="1"/>
  <c r="A212" i="101" s="1"/>
  <c r="A213" i="101" s="1"/>
  <c r="A214" i="101" s="1"/>
  <c r="A215" i="101" s="1"/>
  <c r="A216" i="101" s="1"/>
  <c r="A217" i="101" s="1"/>
  <c r="A218" i="101" s="1"/>
  <c r="A219" i="101" s="1"/>
  <c r="A220" i="101" s="1"/>
  <c r="A221" i="101" s="1"/>
  <c r="A222" i="101" s="1"/>
  <c r="A223" i="101" s="1"/>
  <c r="A224" i="101" s="1"/>
  <c r="A225" i="101" s="1"/>
  <c r="A226" i="101" s="1"/>
  <c r="A227" i="101" s="1"/>
  <c r="A228" i="101" s="1"/>
  <c r="A229" i="101" s="1"/>
  <c r="A230" i="101" s="1"/>
  <c r="A231" i="101" s="1"/>
  <c r="A232" i="101" s="1"/>
  <c r="A233" i="101" s="1"/>
  <c r="A234" i="101" s="1"/>
  <c r="A235" i="101" s="1"/>
  <c r="A236" i="101" s="1"/>
  <c r="A237" i="101" s="1"/>
  <c r="A238" i="101" s="1"/>
  <c r="A239" i="101" s="1"/>
  <c r="A240" i="101" s="1"/>
  <c r="A241" i="101" s="1"/>
  <c r="A242" i="101" s="1"/>
  <c r="A243" i="101" s="1"/>
  <c r="A244" i="101" s="1"/>
  <c r="A245" i="101" s="1"/>
  <c r="A246" i="101" s="1"/>
  <c r="A247" i="101" s="1"/>
  <c r="A248" i="101" s="1"/>
  <c r="A249" i="101" s="1"/>
  <c r="A250" i="101" s="1"/>
  <c r="A251" i="101" s="1"/>
  <c r="A252" i="101" s="1"/>
  <c r="A253" i="101" s="1"/>
  <c r="A254" i="101" s="1"/>
  <c r="A255" i="101" s="1"/>
  <c r="A256" i="101" s="1"/>
  <c r="B7519" i="87"/>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8" i="87" s="1"/>
  <c r="C7839" i="87"/>
  <c r="A257" i="101" l="1"/>
  <c r="A258" i="101" s="1"/>
  <c r="A259" i="101" s="1"/>
  <c r="A260" i="101" s="1"/>
  <c r="A261" i="101" s="1"/>
  <c r="A262" i="101" s="1"/>
  <c r="A263" i="101" s="1"/>
  <c r="A264" i="101" s="1"/>
  <c r="A265" i="101" s="1"/>
  <c r="A266" i="101" s="1"/>
  <c r="A267" i="101" s="1"/>
  <c r="A268" i="101" s="1"/>
  <c r="A269" i="101" s="1"/>
  <c r="A270" i="101" s="1"/>
  <c r="A271" i="101" s="1"/>
  <c r="A272" i="101" s="1"/>
  <c r="A273" i="101" s="1"/>
  <c r="A274" i="101" s="1"/>
  <c r="A275" i="101" s="1"/>
  <c r="A276" i="101" s="1"/>
  <c r="A277" i="101" s="1"/>
  <c r="A278" i="101" s="1"/>
  <c r="A279" i="101" s="1"/>
  <c r="A280" i="101" s="1"/>
  <c r="A281" i="101" s="1"/>
  <c r="A282" i="101" s="1"/>
  <c r="A283" i="101" s="1"/>
  <c r="A284" i="101" s="1"/>
  <c r="A285" i="101" s="1"/>
  <c r="A286" i="101" s="1"/>
  <c r="A287" i="101" s="1"/>
  <c r="A288" i="101" s="1"/>
  <c r="A289" i="101" s="1"/>
  <c r="A290" i="101" s="1"/>
  <c r="A291" i="101" s="1"/>
  <c r="A292" i="101" s="1"/>
  <c r="A293" i="101" s="1"/>
  <c r="A294" i="101" s="1"/>
  <c r="A295" i="101" s="1"/>
  <c r="A296" i="101" s="1"/>
  <c r="A297" i="101" s="1"/>
  <c r="A298" i="101" s="1"/>
  <c r="A299" i="101" s="1"/>
  <c r="A300" i="101" s="1"/>
  <c r="A301" i="101" s="1"/>
  <c r="A302" i="101" s="1"/>
  <c r="A303" i="101" s="1"/>
  <c r="A304" i="101" s="1"/>
  <c r="A305" i="101" s="1"/>
  <c r="A306" i="101" s="1"/>
  <c r="A307" i="101" s="1"/>
  <c r="A308" i="101" s="1"/>
  <c r="A309" i="101" s="1"/>
  <c r="A310" i="101" s="1"/>
  <c r="A311" i="101" s="1"/>
  <c r="A312" i="101" s="1"/>
  <c r="B7471" i="87"/>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A313" i="101" l="1"/>
  <c r="A314" i="101" s="1"/>
  <c r="A315" i="101" s="1"/>
  <c r="A316" i="101" s="1"/>
  <c r="A317" i="101" s="1"/>
  <c r="A318" i="101" s="1"/>
  <c r="A319" i="101" s="1"/>
  <c r="A320" i="101" s="1"/>
  <c r="A321" i="101" s="1"/>
  <c r="A322" i="101" s="1"/>
  <c r="A323" i="101" s="1"/>
  <c r="A324" i="101" s="1"/>
  <c r="A325" i="101" s="1"/>
  <c r="A326" i="101" s="1"/>
  <c r="A327" i="101" s="1"/>
  <c r="A328" i="101" s="1"/>
  <c r="A329" i="101" s="1"/>
  <c r="A330" i="101" s="1"/>
  <c r="A331" i="101" s="1"/>
  <c r="A332" i="101" s="1"/>
  <c r="A333" i="101" s="1"/>
  <c r="A334" i="101" s="1"/>
  <c r="A335" i="101" s="1"/>
  <c r="A336" i="101" s="1"/>
  <c r="A337" i="101" s="1"/>
  <c r="A338" i="101" s="1"/>
  <c r="A339" i="101" s="1"/>
  <c r="A340" i="101" s="1"/>
  <c r="A341" i="101" s="1"/>
  <c r="A342" i="101" s="1"/>
  <c r="A343" i="101" s="1"/>
  <c r="A344" i="101" s="1"/>
  <c r="A345" i="101" s="1"/>
  <c r="A346" i="101" s="1"/>
  <c r="A347" i="101" s="1"/>
  <c r="A348" i="101" s="1"/>
  <c r="A349" i="101" s="1"/>
  <c r="A350" i="101" s="1"/>
  <c r="B7438" i="87"/>
  <c r="B7439" i="87"/>
  <c r="C7439" i="87" s="1"/>
  <c r="B7440" i="87"/>
  <c r="C7440" i="87" s="1"/>
  <c r="B7441" i="87"/>
  <c r="C7441" i="87" s="1"/>
  <c r="B7442" i="87"/>
  <c r="C7442" i="87" s="1"/>
  <c r="B7437" i="87"/>
  <c r="B7422" i="87"/>
  <c r="C7422" i="87" s="1"/>
  <c r="B7423" i="87"/>
  <c r="C7423" i="87" s="1"/>
  <c r="B7424" i="87"/>
  <c r="C7424" i="87" s="1"/>
  <c r="B7425" i="87"/>
  <c r="B7426" i="87"/>
  <c r="C7426" i="87" s="1"/>
  <c r="B7427" i="87"/>
  <c r="C7427" i="87" s="1"/>
  <c r="B7428" i="87"/>
  <c r="C7428" i="87" s="1"/>
  <c r="B7429" i="87"/>
  <c r="B7430" i="87"/>
  <c r="C7430" i="87" s="1"/>
  <c r="B7431" i="87"/>
  <c r="C7431" i="87" s="1"/>
  <c r="B7432" i="87"/>
  <c r="C7432" i="87" s="1"/>
  <c r="B7433" i="87"/>
  <c r="B7434" i="87"/>
  <c r="C7434" i="87" s="1"/>
  <c r="B7435" i="87"/>
  <c r="C7435" i="87" s="1"/>
  <c r="B7421" i="87"/>
  <c r="C7421" i="87" s="1"/>
  <c r="B7406" i="87"/>
  <c r="C7406" i="87" s="1"/>
  <c r="B7407" i="87"/>
  <c r="C7407" i="87" s="1"/>
  <c r="B7408" i="87"/>
  <c r="C7408" i="87" s="1"/>
  <c r="B7409" i="87"/>
  <c r="C7409" i="87" s="1"/>
  <c r="B7410" i="87"/>
  <c r="C7410" i="87" s="1"/>
  <c r="B7405" i="87"/>
  <c r="B7403" i="87"/>
  <c r="B7402" i="87"/>
  <c r="B7400" i="87"/>
  <c r="C7400" i="87" s="1"/>
  <c r="B7401" i="87"/>
  <c r="B7399" i="87"/>
  <c r="B7396" i="87"/>
  <c r="B7397" i="87"/>
  <c r="C7397" i="87" s="1"/>
  <c r="B7395" i="87"/>
  <c r="C7395" i="87" s="1"/>
  <c r="B7389" i="87"/>
  <c r="B7390" i="87"/>
  <c r="C7390" i="87" s="1"/>
  <c r="B7391" i="87"/>
  <c r="C7391" i="87" s="1"/>
  <c r="B7392" i="87"/>
  <c r="C7392" i="87" s="1"/>
  <c r="B7393" i="87"/>
  <c r="B7388" i="87"/>
  <c r="C7388" i="87" s="1"/>
  <c r="B7375" i="87"/>
  <c r="B7376" i="87"/>
  <c r="C7376" i="87" s="1"/>
  <c r="B7377" i="87"/>
  <c r="C7377" i="87" s="1"/>
  <c r="B7378" i="87"/>
  <c r="C7378" i="87" s="1"/>
  <c r="B7379" i="87"/>
  <c r="B7380" i="87"/>
  <c r="C7380" i="87" s="1"/>
  <c r="B7381" i="87"/>
  <c r="C7381" i="87" s="1"/>
  <c r="B7382" i="87"/>
  <c r="C7382" i="87" s="1"/>
  <c r="B7383" i="87"/>
  <c r="B7384" i="87"/>
  <c r="C7384" i="87" s="1"/>
  <c r="B7385" i="87"/>
  <c r="C7385" i="87" s="1"/>
  <c r="B7386" i="87"/>
  <c r="C7386" i="87" s="1"/>
  <c r="B7374" i="87"/>
  <c r="C7374" i="87" s="1"/>
  <c r="B7373" i="87"/>
  <c r="C7373" i="87" s="1"/>
  <c r="B7365" i="87"/>
  <c r="C7365" i="87" s="1"/>
  <c r="B7366" i="87"/>
  <c r="C7366" i="87" s="1"/>
  <c r="B7367" i="87"/>
  <c r="B7368" i="87"/>
  <c r="C7368" i="87" s="1"/>
  <c r="B7370" i="87"/>
  <c r="C7370" i="87" s="1"/>
  <c r="B7372" i="87"/>
  <c r="C7372" i="87" s="1"/>
  <c r="B7364" i="87"/>
  <c r="B7358" i="87"/>
  <c r="C7358" i="87" s="1"/>
  <c r="B7359" i="87"/>
  <c r="C7359" i="87" s="1"/>
  <c r="B7360" i="87"/>
  <c r="B7361" i="87"/>
  <c r="C7361" i="87" s="1"/>
  <c r="B7362" i="87"/>
  <c r="C7362" i="87" s="1"/>
  <c r="B7357" i="87"/>
  <c r="B7355" i="87"/>
  <c r="C7355" i="87" s="1"/>
  <c r="B7354" i="87"/>
  <c r="C7354" i="87" s="1"/>
  <c r="B7352" i="87"/>
  <c r="C7352" i="87" s="1"/>
  <c r="B7353" i="87"/>
  <c r="C7353" i="87" s="1"/>
  <c r="B7351" i="87"/>
  <c r="C7351" i="87" s="1"/>
  <c r="B7348" i="87"/>
  <c r="B7349" i="87"/>
  <c r="C7349" i="87" s="1"/>
  <c r="B7347" i="87"/>
  <c r="C7347" i="87" s="1"/>
  <c r="B7341" i="87"/>
  <c r="C7341" i="87" s="1"/>
  <c r="B7342" i="87"/>
  <c r="C7342" i="87" s="1"/>
  <c r="B7343" i="87"/>
  <c r="C7343" i="87" s="1"/>
  <c r="B7344" i="87"/>
  <c r="C7344" i="87" s="1"/>
  <c r="B7345" i="87"/>
  <c r="C7345" i="87" s="1"/>
  <c r="B7340" i="87"/>
  <c r="B7327" i="87"/>
  <c r="C7327" i="87" s="1"/>
  <c r="B7328" i="87"/>
  <c r="C7328" i="87" s="1"/>
  <c r="B7329" i="87"/>
  <c r="B7330" i="87"/>
  <c r="C7330" i="87" s="1"/>
  <c r="B7331" i="87"/>
  <c r="C7331" i="87" s="1"/>
  <c r="B7332" i="87"/>
  <c r="C7332" i="87" s="1"/>
  <c r="B7333" i="87"/>
  <c r="C7333" i="87" s="1"/>
  <c r="B7334" i="87"/>
  <c r="C7334" i="87" s="1"/>
  <c r="B7335" i="87"/>
  <c r="C7335" i="87" s="1"/>
  <c r="B7336" i="87"/>
  <c r="C7336" i="87" s="1"/>
  <c r="B7337" i="87"/>
  <c r="C7337" i="87" s="1"/>
  <c r="B7338" i="87"/>
  <c r="C7338" i="87" s="1"/>
  <c r="B7326" i="87"/>
  <c r="C7326" i="87" s="1"/>
  <c r="B7325" i="87"/>
  <c r="B6597" i="87"/>
  <c r="B6609" i="87"/>
  <c r="B6575" i="87"/>
  <c r="B6573" i="87"/>
  <c r="C7402" i="87"/>
  <c r="C7403" i="87"/>
  <c r="C7405" i="87"/>
  <c r="C7412" i="87"/>
  <c r="C7413" i="87"/>
  <c r="C7414" i="87"/>
  <c r="C7415" i="87"/>
  <c r="C7416" i="87"/>
  <c r="C7418" i="87"/>
  <c r="C7420" i="87"/>
  <c r="C7425" i="87"/>
  <c r="C7429" i="87"/>
  <c r="C7433" i="87"/>
  <c r="C7437"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5" i="87"/>
  <c r="C7329" i="87"/>
  <c r="C7340" i="87"/>
  <c r="C7348" i="87"/>
  <c r="C7357" i="87"/>
  <c r="C7360" i="87"/>
  <c r="C7364" i="87"/>
  <c r="C7367" i="87"/>
  <c r="C7375" i="87"/>
  <c r="C7379" i="87"/>
  <c r="C7383" i="87"/>
  <c r="C7389" i="87"/>
  <c r="C7393" i="87"/>
  <c r="C7396" i="87"/>
  <c r="C7399" i="87"/>
  <c r="C7401" i="87"/>
  <c r="B7305" i="87"/>
  <c r="C7305" i="87" s="1"/>
  <c r="A351" i="101" l="1"/>
  <c r="A352" i="101" s="1"/>
  <c r="A353" i="101" s="1"/>
  <c r="A354" i="101" s="1"/>
  <c r="A355" i="101" s="1"/>
  <c r="A356" i="101" s="1"/>
  <c r="A357" i="101" s="1"/>
  <c r="A358" i="101" s="1"/>
  <c r="A359" i="101" s="1"/>
  <c r="A360" i="101" s="1"/>
  <c r="A361" i="101" s="1"/>
  <c r="A362" i="101" s="1"/>
  <c r="A363" i="101" s="1"/>
  <c r="A364" i="101" s="1"/>
  <c r="A365" i="101" s="1"/>
  <c r="A366" i="101" s="1"/>
  <c r="A367" i="101" s="1"/>
  <c r="A368" i="101" s="1"/>
  <c r="A369" i="101" s="1"/>
  <c r="A370" i="101" s="1"/>
  <c r="A371" i="101" s="1"/>
  <c r="A372" i="101" s="1"/>
  <c r="A373" i="101" s="1"/>
  <c r="A374" i="101" s="1"/>
  <c r="A375" i="101" s="1"/>
  <c r="A376" i="101" s="1"/>
  <c r="A377" i="101" s="1"/>
  <c r="A378" i="101" s="1"/>
  <c r="A379" i="101" s="1"/>
  <c r="A380" i="101" s="1"/>
  <c r="A381" i="101" s="1"/>
  <c r="A382" i="101" s="1"/>
  <c r="A383" i="101" s="1"/>
  <c r="A384" i="101" s="1"/>
  <c r="A385" i="101" s="1"/>
  <c r="A386" i="101" s="1"/>
  <c r="A387" i="101" s="1"/>
  <c r="A388" i="101" s="1"/>
  <c r="A389" i="101" s="1"/>
  <c r="A390" i="101" s="1"/>
  <c r="A391" i="101" s="1"/>
  <c r="A392" i="101" s="1"/>
  <c r="A393" i="101" s="1"/>
  <c r="A394" i="101" s="1"/>
  <c r="A395" i="101" s="1"/>
  <c r="A396" i="101" s="1"/>
  <c r="L427" i="30"/>
  <c r="B6611" i="87"/>
  <c r="L422" i="30"/>
  <c r="L420" i="30"/>
  <c r="B6576" i="87" s="1"/>
  <c r="L418" i="30"/>
  <c r="B6574" i="87" s="1"/>
  <c r="G167" i="84" l="1"/>
  <c r="B167" i="84" s="1"/>
  <c r="C167" i="84" s="1"/>
  <c r="L426" i="30"/>
  <c r="A397" i="101"/>
  <c r="A398" i="101" s="1"/>
  <c r="A399" i="101" s="1"/>
  <c r="A400" i="101" s="1"/>
  <c r="A401" i="101" s="1"/>
  <c r="A402" i="101" s="1"/>
  <c r="A403" i="101" s="1"/>
  <c r="A404" i="101" s="1"/>
  <c r="A405" i="101" s="1"/>
  <c r="A406" i="101" s="1"/>
  <c r="A407" i="101" s="1"/>
  <c r="A408" i="101" s="1"/>
  <c r="A409" i="101" s="1"/>
  <c r="A410" i="101" s="1"/>
  <c r="A411" i="101" s="1"/>
  <c r="A412" i="101" s="1"/>
  <c r="A413" i="101" s="1"/>
  <c r="A414" i="101" s="1"/>
  <c r="A415" i="101" s="1"/>
  <c r="A416" i="101" s="1"/>
  <c r="A417" i="101" s="1"/>
  <c r="A418" i="101" s="1"/>
  <c r="A419" i="101" s="1"/>
  <c r="A420" i="101" s="1"/>
  <c r="A421" i="101" s="1"/>
  <c r="A422" i="101" s="1"/>
  <c r="A423" i="101" s="1"/>
  <c r="A424" i="101" s="1"/>
  <c r="A425" i="101" s="1"/>
  <c r="A426" i="101" s="1"/>
  <c r="A427" i="101" s="1"/>
  <c r="A428" i="101" s="1"/>
  <c r="A429" i="101" s="1"/>
  <c r="A430" i="101" s="1"/>
  <c r="A431" i="101" s="1"/>
  <c r="A432" i="101" s="1"/>
  <c r="A433" i="101" s="1"/>
  <c r="A434" i="101" s="1"/>
  <c r="A435" i="101" s="1"/>
  <c r="A436" i="101" s="1"/>
  <c r="A437" i="101" s="1"/>
  <c r="A438" i="101" s="1"/>
  <c r="A439" i="101" s="1"/>
  <c r="A440" i="101" s="1"/>
  <c r="A441" i="101" s="1"/>
  <c r="A442" i="101" s="1"/>
  <c r="A443" i="101" s="1"/>
  <c r="A444" i="101" s="1"/>
  <c r="A445" i="101" s="1"/>
  <c r="A446" i="101" s="1"/>
  <c r="A447" i="101" s="1"/>
  <c r="A448" i="101" s="1"/>
  <c r="A449" i="101" s="1"/>
  <c r="A450" i="101" s="1"/>
  <c r="A451" i="101" s="1"/>
  <c r="A452" i="101" s="1"/>
  <c r="A453" i="101" s="1"/>
  <c r="A454" i="101" s="1"/>
  <c r="A455" i="101" s="1"/>
  <c r="A456" i="101" s="1"/>
  <c r="A457" i="101" s="1"/>
  <c r="A458" i="101" s="1"/>
  <c r="A459" i="101" s="1"/>
  <c r="A460" i="101" s="1"/>
  <c r="A461" i="101" s="1"/>
  <c r="A462" i="101" s="1"/>
  <c r="A463" i="101" s="1"/>
  <c r="A464" i="101" s="1"/>
  <c r="B6610" i="87"/>
  <c r="J18" i="73"/>
  <c r="J106" i="73" s="1"/>
  <c r="B7845" i="87" s="1"/>
  <c r="C7845" i="87" s="1"/>
  <c r="B6598" i="87"/>
  <c r="B7302" i="87"/>
  <c r="C7302" i="87" s="1"/>
  <c r="E167" i="84" l="1"/>
  <c r="A167" i="84"/>
  <c r="A465" i="101"/>
  <c r="A466" i="101" s="1"/>
  <c r="A467" i="101" s="1"/>
  <c r="A468" i="101" s="1"/>
  <c r="A469" i="101" s="1"/>
  <c r="A470" i="101" s="1"/>
  <c r="A471" i="101" s="1"/>
  <c r="A472" i="101" s="1"/>
  <c r="A473" i="101" s="1"/>
  <c r="A474" i="101" s="1"/>
  <c r="A475" i="101" s="1"/>
  <c r="A476" i="101" s="1"/>
  <c r="A477" i="101" s="1"/>
  <c r="A478" i="101" s="1"/>
  <c r="A479" i="101" s="1"/>
  <c r="A480" i="101" s="1"/>
  <c r="A481" i="101" s="1"/>
  <c r="A482" i="101" s="1"/>
  <c r="A483" i="101" s="1"/>
  <c r="A484" i="101" s="1"/>
  <c r="A485" i="101" s="1"/>
  <c r="A486" i="101" s="1"/>
  <c r="A487" i="101" s="1"/>
  <c r="A488" i="101" s="1"/>
  <c r="A489" i="101" s="1"/>
  <c r="A490" i="101" s="1"/>
  <c r="A491" i="101" s="1"/>
  <c r="A492" i="101" s="1"/>
  <c r="A493" i="101" s="1"/>
  <c r="A494" i="101" s="1"/>
  <c r="A495" i="101" s="1"/>
  <c r="A496" i="101" s="1"/>
  <c r="A497" i="101" s="1"/>
  <c r="A498" i="101" s="1"/>
  <c r="A499" i="101" s="1"/>
  <c r="A500" i="101" s="1"/>
  <c r="A501" i="101" s="1"/>
  <c r="A502" i="101" s="1"/>
  <c r="A503" i="101" s="1"/>
  <c r="A504" i="101" s="1"/>
  <c r="A505" i="101" s="1"/>
  <c r="A506" i="101" s="1"/>
  <c r="A507" i="101" s="1"/>
  <c r="A508" i="101" s="1"/>
  <c r="A509" i="101" s="1"/>
  <c r="A510" i="101" s="1"/>
  <c r="A511" i="101" s="1"/>
  <c r="A512" i="101" s="1"/>
  <c r="A513" i="101" s="1"/>
  <c r="A514" i="101" s="1"/>
  <c r="A515" i="101" s="1"/>
  <c r="A516" i="101" s="1"/>
  <c r="A517" i="101" s="1"/>
  <c r="A518" i="101" s="1"/>
  <c r="A519" i="101" s="1"/>
  <c r="A520" i="101" s="1"/>
  <c r="A521" i="101" s="1"/>
  <c r="A522" i="101" s="1"/>
  <c r="A523" i="101" s="1"/>
  <c r="A524" i="101" s="1"/>
  <c r="A525" i="101" s="1"/>
  <c r="A526" i="101" s="1"/>
  <c r="A527" i="101" s="1"/>
  <c r="A528" i="101" s="1"/>
  <c r="A529" i="101" s="1"/>
  <c r="A530" i="101" s="1"/>
  <c r="A531" i="101" s="1"/>
  <c r="A532" i="101" s="1"/>
  <c r="A533" i="101" s="1"/>
  <c r="A534" i="101" s="1"/>
  <c r="A535" i="101" s="1"/>
  <c r="A536" i="101" s="1"/>
  <c r="A537" i="101" s="1"/>
  <c r="A538" i="101" s="1"/>
  <c r="A539" i="101" s="1"/>
  <c r="B6612" i="87"/>
  <c r="J17" i="73"/>
  <c r="J105" i="73" s="1"/>
  <c r="B7844" i="87" s="1"/>
  <c r="C7844" i="87" s="1"/>
  <c r="B7216" i="87"/>
  <c r="C7216" i="87" s="1"/>
  <c r="A540" i="101" l="1"/>
  <c r="B7039" i="87"/>
  <c r="C7039" i="87" s="1"/>
  <c r="A541" i="101" l="1"/>
  <c r="A542" i="101" s="1"/>
  <c r="A543" i="101" s="1"/>
  <c r="A544" i="101" s="1"/>
  <c r="A545" i="101" s="1"/>
  <c r="A546" i="101" s="1"/>
  <c r="A547" i="101" s="1"/>
  <c r="A548" i="101" s="1"/>
  <c r="A549" i="101" s="1"/>
  <c r="A550" i="101" s="1"/>
  <c r="A551" i="101" s="1"/>
  <c r="A552" i="101" s="1"/>
  <c r="A553" i="101" s="1"/>
  <c r="A554" i="101" s="1"/>
  <c r="A555" i="101" s="1"/>
  <c r="A556" i="101" s="1"/>
  <c r="A557" i="101" s="1"/>
  <c r="A558" i="101" s="1"/>
  <c r="A559" i="101" s="1"/>
  <c r="A560" i="101" s="1"/>
  <c r="A561" i="101" s="1"/>
  <c r="A562" i="101" s="1"/>
  <c r="A563" i="101" s="1"/>
  <c r="A564" i="101" s="1"/>
  <c r="A565" i="101" s="1"/>
  <c r="A566" i="101" s="1"/>
  <c r="A567" i="101" s="1"/>
  <c r="A568" i="101" s="1"/>
  <c r="A569" i="101" s="1"/>
  <c r="A570" i="101" s="1"/>
  <c r="A571" i="101" s="1"/>
  <c r="A572" i="101" s="1"/>
  <c r="A573" i="101" s="1"/>
  <c r="A574" i="101" s="1"/>
  <c r="A575" i="101" s="1"/>
  <c r="A576" i="101" s="1"/>
  <c r="A577" i="101" s="1"/>
  <c r="A578" i="101" s="1"/>
  <c r="A579" i="101" s="1"/>
  <c r="A580" i="101" s="1"/>
  <c r="A581" i="101" s="1"/>
  <c r="A582" i="101" s="1"/>
  <c r="A583" i="101" s="1"/>
  <c r="A584" i="101" s="1"/>
  <c r="A585" i="101" s="1"/>
  <c r="A586" i="101" s="1"/>
  <c r="A587" i="101" s="1"/>
  <c r="A588" i="101" s="1"/>
  <c r="A589" i="101" s="1"/>
  <c r="A590" i="101" s="1"/>
  <c r="A591" i="101" s="1"/>
  <c r="A592" i="101" s="1"/>
  <c r="A593" i="101" s="1"/>
  <c r="A594" i="101" s="1"/>
  <c r="A595" i="101" s="1"/>
  <c r="A596" i="101" s="1"/>
  <c r="A597" i="101" s="1"/>
  <c r="A598" i="101" s="1"/>
  <c r="A599" i="101" s="1"/>
  <c r="A600" i="101" s="1"/>
  <c r="A601" i="101" s="1"/>
  <c r="A602" i="101" s="1"/>
  <c r="A603" i="101" s="1"/>
  <c r="A604" i="101" s="1"/>
  <c r="A605" i="101" s="1"/>
  <c r="A606" i="101" s="1"/>
  <c r="A607" i="101" s="1"/>
  <c r="A608" i="101" s="1"/>
  <c r="A609" i="101" s="1"/>
  <c r="A610" i="101" s="1"/>
  <c r="A611" i="101" s="1"/>
  <c r="A612" i="101" s="1"/>
  <c r="A613" i="101" s="1"/>
  <c r="A614" i="101" s="1"/>
  <c r="A615" i="101" s="1"/>
  <c r="A616" i="101" s="1"/>
  <c r="A617" i="101" s="1"/>
  <c r="A618" i="101" s="1"/>
  <c r="A619" i="101" s="1"/>
  <c r="A620" i="101" s="1"/>
  <c r="A621" i="101" s="1"/>
  <c r="A622" i="101" s="1"/>
  <c r="A623" i="101" s="1"/>
  <c r="A624" i="101" s="1"/>
  <c r="A625" i="101" s="1"/>
  <c r="A626" i="101" s="1"/>
  <c r="A627" i="101" s="1"/>
  <c r="A628" i="101" s="1"/>
  <c r="A629" i="101" s="1"/>
  <c r="A630" i="101" s="1"/>
  <c r="A631" i="101" s="1"/>
  <c r="A632" i="101" s="1"/>
  <c r="A633" i="101" s="1"/>
  <c r="A634" i="101" s="1"/>
  <c r="A635" i="101" s="1"/>
  <c r="A636" i="101" s="1"/>
  <c r="A637" i="101" s="1"/>
  <c r="A638" i="101" s="1"/>
  <c r="A639" i="101" s="1"/>
  <c r="A640" i="101" s="1"/>
  <c r="A641" i="101" s="1"/>
  <c r="A642" i="101" s="1"/>
  <c r="A643" i="101"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644" i="101" l="1"/>
  <c r="A645" i="101" s="1"/>
  <c r="A646" i="101" l="1"/>
  <c r="A647" i="101" s="1"/>
  <c r="A648" i="101" s="1"/>
  <c r="A649" i="101" s="1"/>
  <c r="A650" i="101" s="1"/>
  <c r="A651" i="101" s="1"/>
  <c r="A652" i="101" s="1"/>
  <c r="A653" i="101" s="1"/>
  <c r="A654" i="101" s="1"/>
  <c r="A655" i="101" s="1"/>
  <c r="A656" i="101" s="1"/>
  <c r="A657" i="101" s="1"/>
  <c r="A658" i="101" s="1"/>
  <c r="A659" i="101" s="1"/>
  <c r="A660" i="101" s="1"/>
  <c r="A661" i="101" s="1"/>
  <c r="A662" i="101" s="1"/>
  <c r="A663" i="101" s="1"/>
  <c r="A664" i="101" s="1"/>
  <c r="A665" i="101" s="1"/>
  <c r="A666" i="101" s="1"/>
  <c r="A667" i="101" s="1"/>
  <c r="A668" i="101" s="1"/>
  <c r="A669" i="101" s="1"/>
  <c r="A670" i="101" s="1"/>
  <c r="A671" i="101" s="1"/>
  <c r="A672" i="101" s="1"/>
  <c r="A673" i="101" s="1"/>
  <c r="A674" i="101" s="1"/>
  <c r="A675" i="101" s="1"/>
  <c r="A676" i="101" s="1"/>
  <c r="A677" i="101" s="1"/>
  <c r="A678" i="101" s="1"/>
  <c r="B7012" i="87"/>
  <c r="C7012" i="87" s="1"/>
  <c r="B7010" i="87"/>
  <c r="C7010" i="87" s="1"/>
  <c r="A679" i="101" l="1"/>
  <c r="A680" i="101" s="1"/>
  <c r="B6981" i="87"/>
  <c r="C6981" i="87" s="1"/>
  <c r="B6607" i="87"/>
  <c r="B6606" i="87"/>
  <c r="B6974" i="87"/>
  <c r="C6974" i="87" s="1"/>
  <c r="B6604" i="87"/>
  <c r="B6977" i="87"/>
  <c r="C6977" i="87" s="1"/>
  <c r="B6053" i="87"/>
  <c r="B6052" i="87"/>
  <c r="B6972" i="87"/>
  <c r="C6972" i="87" s="1"/>
  <c r="B6971" i="87"/>
  <c r="C6971" i="87" s="1"/>
  <c r="B6980" i="87"/>
  <c r="C6980" i="87" s="1"/>
  <c r="B6979" i="87"/>
  <c r="C6979" i="87" s="1"/>
  <c r="B6051" i="87"/>
  <c r="B6049" i="87"/>
  <c r="B6048" i="87"/>
  <c r="B6047" i="87"/>
  <c r="B6978" i="87"/>
  <c r="C6978" i="87" s="1"/>
  <c r="B6976" i="87"/>
  <c r="C6976" i="87" s="1"/>
  <c r="B6975" i="87"/>
  <c r="C6975" i="87" s="1"/>
  <c r="B6045" i="87"/>
  <c r="B6973" i="87"/>
  <c r="C6973" i="87" s="1"/>
  <c r="B6044" i="87"/>
  <c r="B6970" i="87"/>
  <c r="C6970" i="87" s="1"/>
  <c r="B6608" i="87"/>
  <c r="B6059" i="87"/>
  <c r="B6058" i="87"/>
  <c r="B6605" i="87"/>
  <c r="B6050" i="87"/>
  <c r="B6046" i="87"/>
  <c r="B6042" i="87"/>
  <c r="B3490" i="87"/>
  <c r="B3371" i="87"/>
  <c r="B3369" i="87"/>
  <c r="B3366" i="87"/>
  <c r="B3363" i="87"/>
  <c r="B3361" i="87"/>
  <c r="B3358" i="87"/>
  <c r="B3355" i="87"/>
  <c r="B132" i="87"/>
  <c r="B130" i="87"/>
  <c r="B108" i="87"/>
  <c r="B103" i="87"/>
  <c r="B97" i="87"/>
  <c r="A681" i="101" l="1"/>
  <c r="A682" i="101" s="1"/>
  <c r="A683" i="101" s="1"/>
  <c r="A684" i="101" s="1"/>
  <c r="A685" i="101" s="1"/>
  <c r="A686" i="101" s="1"/>
  <c r="A687" i="101" s="1"/>
  <c r="A688" i="101" s="1"/>
  <c r="A689" i="101" s="1"/>
  <c r="A690" i="101" s="1"/>
  <c r="A691" i="101" s="1"/>
  <c r="A692" i="101" s="1"/>
  <c r="A693" i="101" s="1"/>
  <c r="A694" i="101" s="1"/>
  <c r="A695" i="101" s="1"/>
  <c r="A696" i="101" s="1"/>
  <c r="A697" i="101" s="1"/>
  <c r="A698" i="101" s="1"/>
  <c r="A699" i="101" s="1"/>
  <c r="A700" i="101" s="1"/>
  <c r="A701" i="101" s="1"/>
  <c r="A702" i="101" s="1"/>
  <c r="A703" i="101" s="1"/>
  <c r="A704" i="101" s="1"/>
  <c r="A705" i="101" s="1"/>
  <c r="A706" i="101" s="1"/>
  <c r="A707" i="101" s="1"/>
  <c r="A708" i="101" s="1"/>
  <c r="A709" i="101" s="1"/>
  <c r="A710" i="101" s="1"/>
  <c r="A711" i="101" s="1"/>
  <c r="A712" i="101" s="1"/>
  <c r="A713" i="101" s="1"/>
  <c r="A714" i="101" s="1"/>
  <c r="A715" i="101" s="1"/>
  <c r="A716" i="101" s="1"/>
  <c r="A717" i="101" s="1"/>
  <c r="A718" i="101" s="1"/>
  <c r="A719" i="101" s="1"/>
  <c r="A720" i="101" s="1"/>
  <c r="A721" i="101" s="1"/>
  <c r="A722" i="101" s="1"/>
  <c r="A723" i="101" s="1"/>
  <c r="A724" i="101" s="1"/>
  <c r="A725" i="101" s="1"/>
  <c r="A726" i="101" s="1"/>
  <c r="A727" i="101" s="1"/>
  <c r="A728" i="101" s="1"/>
  <c r="A729" i="101" s="1"/>
  <c r="A730" i="101" s="1"/>
  <c r="A731" i="101" s="1"/>
  <c r="A732" i="101" s="1"/>
  <c r="A733" i="101" s="1"/>
  <c r="A734" i="101" s="1"/>
  <c r="A735" i="101" s="1"/>
  <c r="A736" i="101" s="1"/>
  <c r="A737" i="101" s="1"/>
  <c r="A738" i="101" s="1"/>
  <c r="A739" i="101" s="1"/>
  <c r="A740" i="101" s="1"/>
  <c r="A741" i="101" s="1"/>
  <c r="A742" i="101" s="1"/>
  <c r="A743" i="101" s="1"/>
  <c r="A744" i="101" s="1"/>
  <c r="A745" i="101" s="1"/>
  <c r="A746" i="101" s="1"/>
  <c r="A747" i="101" s="1"/>
  <c r="A748" i="101" s="1"/>
  <c r="A749" i="101" s="1"/>
  <c r="A750" i="101" s="1"/>
  <c r="A751" i="101" s="1"/>
  <c r="A752" i="101" s="1"/>
  <c r="A753" i="101" s="1"/>
  <c r="A754" i="101" s="1"/>
  <c r="A755" i="101" s="1"/>
  <c r="A756" i="101" s="1"/>
  <c r="A757" i="101" s="1"/>
  <c r="A758" i="101" s="1"/>
  <c r="A759" i="101" s="1"/>
  <c r="A760" i="101" s="1"/>
  <c r="A761" i="101" s="1"/>
  <c r="A762" i="101" s="1"/>
  <c r="A763" i="101" s="1"/>
  <c r="A764" i="101" s="1"/>
  <c r="A765" i="101" s="1"/>
  <c r="A766" i="101" s="1"/>
  <c r="A767" i="101" s="1"/>
  <c r="A768" i="101" s="1"/>
  <c r="A769" i="101" s="1"/>
  <c r="A770" i="101" s="1"/>
  <c r="A771" i="101" s="1"/>
  <c r="A772" i="101" s="1"/>
  <c r="A773" i="101" s="1"/>
  <c r="A774" i="101" s="1"/>
  <c r="A775" i="101" s="1"/>
  <c r="A776" i="101" s="1"/>
  <c r="A777" i="101" s="1"/>
  <c r="A778" i="101" s="1"/>
  <c r="A779" i="101" s="1"/>
  <c r="A780" i="101" s="1"/>
  <c r="A781" i="101" s="1"/>
  <c r="A782" i="101" s="1"/>
  <c r="A783" i="101" s="1"/>
  <c r="A784" i="101" s="1"/>
  <c r="A785" i="101" s="1"/>
  <c r="A786" i="101" s="1"/>
  <c r="A787" i="101" s="1"/>
  <c r="A788" i="101" s="1"/>
  <c r="A789" i="101" s="1"/>
  <c r="A790" i="101" s="1"/>
  <c r="A791" i="101" s="1"/>
  <c r="A792" i="101" s="1"/>
  <c r="A793" i="101" s="1"/>
  <c r="A794" i="101" s="1"/>
  <c r="A795" i="101" s="1"/>
  <c r="A796" i="101" s="1"/>
  <c r="A797" i="101" s="1"/>
  <c r="A798" i="101" s="1"/>
  <c r="A799" i="101" s="1"/>
  <c r="A800" i="101" s="1"/>
  <c r="A801" i="101" s="1"/>
  <c r="A802" i="101" s="1"/>
  <c r="A803" i="101" s="1"/>
  <c r="A804" i="101" s="1"/>
  <c r="B88" i="87"/>
  <c r="B85" i="87"/>
  <c r="B83" i="87"/>
  <c r="B74" i="87"/>
  <c r="B70" i="87"/>
  <c r="B68" i="87"/>
  <c r="B67" i="87"/>
  <c r="B62" i="87"/>
  <c r="A805" i="101" l="1"/>
  <c r="A806" i="101" s="1"/>
  <c r="A807" i="101" s="1"/>
  <c r="A808" i="101" s="1"/>
  <c r="A809" i="101" s="1"/>
  <c r="A810" i="101" s="1"/>
  <c r="A811" i="101" s="1"/>
  <c r="A812" i="101" s="1"/>
  <c r="A813" i="101" s="1"/>
  <c r="A814" i="101" s="1"/>
  <c r="A815" i="101" s="1"/>
  <c r="A816" i="101" s="1"/>
  <c r="A817" i="101" s="1"/>
  <c r="A818" i="101" s="1"/>
  <c r="A819" i="101" s="1"/>
  <c r="A820" i="101" s="1"/>
  <c r="A821" i="101" s="1"/>
  <c r="A822" i="101" s="1"/>
  <c r="A823" i="101" s="1"/>
  <c r="A824" i="101" s="1"/>
  <c r="A825" i="101" s="1"/>
  <c r="A826" i="101" s="1"/>
  <c r="A827" i="101" s="1"/>
  <c r="A828" i="101" s="1"/>
  <c r="A829" i="101" s="1"/>
  <c r="A830" i="101" s="1"/>
  <c r="B57" i="87"/>
  <c r="B55" i="87"/>
  <c r="B52" i="87"/>
  <c r="B43" i="87"/>
  <c r="B39" i="87"/>
  <c r="B37" i="87"/>
  <c r="B36" i="87"/>
  <c r="B31" i="87"/>
  <c r="B23" i="87"/>
  <c r="A831" i="101" l="1"/>
  <c r="A832" i="101" s="1"/>
  <c r="A833" i="101" s="1"/>
  <c r="A834" i="101" s="1"/>
  <c r="A835" i="101" s="1"/>
  <c r="A836" i="101" s="1"/>
  <c r="B26" i="87"/>
  <c r="B22" i="87"/>
  <c r="B20" i="87"/>
  <c r="B19" i="87"/>
  <c r="B14" i="87"/>
  <c r="A837" i="101" l="1"/>
  <c r="A838" i="101" s="1"/>
  <c r="A839" i="101" s="1"/>
  <c r="A840" i="101" s="1"/>
  <c r="A841" i="101" s="1"/>
  <c r="A842" i="101" s="1"/>
  <c r="A843" i="101" s="1"/>
  <c r="A844" i="101" s="1"/>
  <c r="A845" i="101" s="1"/>
  <c r="A846" i="101" s="1"/>
  <c r="A847" i="101" s="1"/>
  <c r="A848" i="101" s="1"/>
  <c r="A849" i="101" s="1"/>
  <c r="A850" i="101" s="1"/>
  <c r="A851" i="101" s="1"/>
  <c r="A852" i="101" s="1"/>
  <c r="A853" i="101" s="1"/>
  <c r="A854" i="101" s="1"/>
  <c r="A855" i="101" s="1"/>
  <c r="A856" i="101" s="1"/>
  <c r="A857" i="101" s="1"/>
  <c r="A858" i="101" s="1"/>
  <c r="A859" i="101" s="1"/>
  <c r="A860" i="101" s="1"/>
  <c r="A861" i="101" s="1"/>
  <c r="A862" i="101" s="1"/>
  <c r="A863" i="101" s="1"/>
  <c r="A864" i="101" s="1"/>
  <c r="A865" i="101" s="1"/>
  <c r="A866" i="101" s="1"/>
  <c r="A867" i="101" s="1"/>
  <c r="A868" i="101" s="1"/>
  <c r="A869" i="101" s="1"/>
  <c r="A870" i="101" s="1"/>
  <c r="A871" i="101" s="1"/>
  <c r="A872" i="101" s="1"/>
  <c r="A873" i="101" s="1"/>
  <c r="A874" i="101" s="1"/>
  <c r="A875" i="101" s="1"/>
  <c r="A876" i="101" s="1"/>
  <c r="A877" i="101" s="1"/>
  <c r="A878" i="101" s="1"/>
  <c r="A879" i="101" s="1"/>
  <c r="A880" i="101" s="1"/>
  <c r="A881" i="101" s="1"/>
  <c r="A882" i="101" s="1"/>
  <c r="A883" i="101" s="1"/>
  <c r="A884" i="101" s="1"/>
  <c r="A885" i="101" s="1"/>
  <c r="A886" i="101" s="1"/>
  <c r="A887" i="101" s="1"/>
  <c r="A888" i="101" s="1"/>
  <c r="A889" i="101" s="1"/>
  <c r="A890" i="101" s="1"/>
  <c r="A891" i="101" s="1"/>
  <c r="A892" i="101" s="1"/>
  <c r="A893" i="101" s="1"/>
  <c r="A894" i="101" s="1"/>
  <c r="A895" i="101" s="1"/>
  <c r="A896" i="101" s="1"/>
  <c r="A897" i="101" s="1"/>
  <c r="A898" i="101" s="1"/>
  <c r="A899" i="101" s="1"/>
  <c r="A900" i="101" s="1"/>
  <c r="A901" i="101" s="1"/>
  <c r="A902" i="101" s="1"/>
  <c r="A903" i="101" s="1"/>
  <c r="A904" i="101" s="1"/>
  <c r="A905" i="101" s="1"/>
  <c r="A906" i="101" s="1"/>
  <c r="A907" i="101" s="1"/>
  <c r="A908" i="101" s="1"/>
  <c r="A909" i="101" s="1"/>
  <c r="A910" i="101" s="1"/>
  <c r="A911" i="101" s="1"/>
  <c r="A912" i="101" s="1"/>
  <c r="A913" i="101" s="1"/>
  <c r="A914" i="101" s="1"/>
  <c r="A915" i="101" s="1"/>
  <c r="A916" i="101" s="1"/>
  <c r="A917" i="101" s="1"/>
  <c r="A918" i="101" s="1"/>
  <c r="A919" i="101" s="1"/>
  <c r="A920" i="101" s="1"/>
  <c r="A921" i="101" s="1"/>
  <c r="A922" i="101" s="1"/>
  <c r="A923" i="101" s="1"/>
  <c r="A924" i="101" s="1"/>
  <c r="A925" i="101" s="1"/>
  <c r="A926" i="101" s="1"/>
  <c r="A927" i="101" s="1"/>
  <c r="A928" i="101" s="1"/>
  <c r="A929" i="101" s="1"/>
  <c r="A930" i="101" s="1"/>
  <c r="A931" i="101" s="1"/>
  <c r="A932" i="101" s="1"/>
  <c r="A933" i="101" s="1"/>
  <c r="A934" i="101" s="1"/>
  <c r="A935" i="101" s="1"/>
  <c r="A936" i="101" s="1"/>
  <c r="A937" i="101" s="1"/>
  <c r="A938" i="101" s="1"/>
  <c r="A939" i="101" s="1"/>
  <c r="A940" i="101" s="1"/>
  <c r="A941" i="101" s="1"/>
  <c r="A942" i="101" s="1"/>
  <c r="A943" i="101" s="1"/>
  <c r="A944" i="101" s="1"/>
  <c r="A945" i="101" s="1"/>
  <c r="A946" i="101" s="1"/>
  <c r="A947" i="101" s="1"/>
  <c r="A948" i="101" s="1"/>
  <c r="A949" i="101" s="1"/>
  <c r="A950" i="101" s="1"/>
  <c r="A951" i="101" s="1"/>
  <c r="A952" i="101" s="1"/>
  <c r="A953" i="101" s="1"/>
  <c r="A954" i="101" s="1"/>
  <c r="A955" i="101" s="1"/>
  <c r="A956" i="101" s="1"/>
  <c r="A957" i="101" s="1"/>
  <c r="A958" i="101" s="1"/>
  <c r="A959" i="101" s="1"/>
  <c r="A960" i="101" s="1"/>
  <c r="A961" i="101" s="1"/>
  <c r="A962" i="101" s="1"/>
  <c r="A963" i="101" s="1"/>
  <c r="A964" i="101" s="1"/>
  <c r="A965" i="101" s="1"/>
  <c r="A966" i="101" s="1"/>
  <c r="A967" i="101" s="1"/>
  <c r="A968" i="101" s="1"/>
  <c r="A969" i="101" s="1"/>
  <c r="A970" i="101" s="1"/>
  <c r="A971" i="101" s="1"/>
  <c r="A972" i="101" s="1"/>
  <c r="A973" i="101" s="1"/>
  <c r="A974" i="101" s="1"/>
  <c r="A975" i="101" s="1"/>
  <c r="A976" i="101" s="1"/>
  <c r="A977" i="101" s="1"/>
  <c r="A978" i="101" s="1"/>
  <c r="A979" i="101" s="1"/>
  <c r="A980" i="101" s="1"/>
  <c r="A981" i="101" s="1"/>
  <c r="A982" i="101" s="1"/>
  <c r="A983" i="101" s="1"/>
  <c r="A984" i="101" s="1"/>
  <c r="A985" i="101" s="1"/>
  <c r="A986" i="101" s="1"/>
  <c r="A987" i="101" s="1"/>
  <c r="A988" i="101" s="1"/>
  <c r="A989" i="101" s="1"/>
  <c r="A990" i="101" s="1"/>
  <c r="A991" i="101" s="1"/>
  <c r="A992" i="101" s="1"/>
  <c r="A993" i="101" s="1"/>
  <c r="A994" i="101" s="1"/>
  <c r="A995" i="101" s="1"/>
  <c r="A996" i="101" s="1"/>
  <c r="J2" i="101" s="1"/>
  <c r="D34" i="30"/>
  <c r="J740" i="101" l="1"/>
  <c r="J238" i="101"/>
  <c r="J728" i="101"/>
  <c r="J632" i="101"/>
  <c r="J536" i="101"/>
  <c r="J344" i="101"/>
  <c r="J866" i="101"/>
  <c r="J963" i="101"/>
  <c r="J840" i="101"/>
  <c r="J690" i="101"/>
  <c r="J594" i="101"/>
  <c r="J360" i="101"/>
  <c r="J775" i="101"/>
  <c r="J583" i="101"/>
  <c r="J284" i="101"/>
  <c r="J90" i="101"/>
  <c r="J31" i="101"/>
  <c r="J197" i="101"/>
  <c r="J293" i="101"/>
  <c r="J389" i="101"/>
  <c r="J204" i="101"/>
  <c r="J202" i="101"/>
  <c r="J340" i="101"/>
  <c r="J501" i="101"/>
  <c r="J597" i="101"/>
  <c r="J725" i="101"/>
  <c r="J680" i="101"/>
  <c r="J616" i="101"/>
  <c r="J552" i="101"/>
  <c r="J488" i="101"/>
  <c r="J877" i="101"/>
  <c r="J896" i="101"/>
  <c r="J770" i="101"/>
  <c r="J979" i="101"/>
  <c r="J915" i="101"/>
  <c r="J808" i="101"/>
  <c r="J706" i="101"/>
  <c r="J642" i="101"/>
  <c r="J578" i="101"/>
  <c r="J474" i="101"/>
  <c r="J432" i="101"/>
  <c r="J807" i="101"/>
  <c r="J679" i="101"/>
  <c r="J551" i="101"/>
  <c r="J412" i="101"/>
  <c r="J42" i="101"/>
  <c r="J106" i="101"/>
  <c r="J170" i="101"/>
  <c r="J127" i="101"/>
  <c r="J213" i="101"/>
  <c r="J277" i="101"/>
  <c r="J341" i="101"/>
  <c r="J405" i="101"/>
  <c r="J172" i="101"/>
  <c r="J41" i="101"/>
  <c r="J234" i="101"/>
  <c r="J362" i="101"/>
  <c r="J404" i="101"/>
  <c r="J485" i="101"/>
  <c r="J549" i="101"/>
  <c r="J613" i="101"/>
  <c r="J677" i="101"/>
  <c r="J741" i="101"/>
  <c r="J805" i="101"/>
  <c r="J64" i="101"/>
  <c r="J128" i="101"/>
  <c r="J43" i="101"/>
  <c r="J171" i="101"/>
  <c r="J235" i="101"/>
  <c r="J299" i="101"/>
  <c r="J363" i="101"/>
  <c r="J5" i="101"/>
  <c r="J216" i="101"/>
  <c r="J129" i="101"/>
  <c r="J278" i="101"/>
  <c r="J406" i="101"/>
  <c r="J443" i="101"/>
  <c r="J507" i="101"/>
  <c r="J571" i="101"/>
  <c r="J635" i="101"/>
  <c r="J699" i="101"/>
  <c r="J763" i="101"/>
  <c r="J827" i="101"/>
  <c r="J891" i="101"/>
  <c r="J452" i="101"/>
  <c r="J889" i="101"/>
  <c r="J494" i="101"/>
  <c r="J6" i="101"/>
  <c r="J70" i="101"/>
  <c r="J134" i="101"/>
  <c r="J55" i="101"/>
  <c r="J177" i="101"/>
  <c r="J241" i="101"/>
  <c r="J305" i="101"/>
  <c r="J369" i="101"/>
  <c r="J29" i="101"/>
  <c r="J228" i="101"/>
  <c r="J153" i="101"/>
  <c r="J290" i="101"/>
  <c r="J418" i="101"/>
  <c r="J449" i="101"/>
  <c r="J513" i="101"/>
  <c r="J577" i="101"/>
  <c r="J641" i="101"/>
  <c r="J705" i="101"/>
  <c r="J769" i="101"/>
  <c r="J28" i="101"/>
  <c r="J92" i="101"/>
  <c r="J156" i="101"/>
  <c r="J99" i="101"/>
  <c r="J199" i="101"/>
  <c r="J263" i="101"/>
  <c r="J327" i="101"/>
  <c r="J391" i="101"/>
  <c r="J117" i="101"/>
  <c r="J272" i="101"/>
  <c r="J206" i="101"/>
  <c r="J942" i="101"/>
  <c r="J862" i="101"/>
  <c r="J734" i="101"/>
  <c r="J965" i="101"/>
  <c r="J901" i="101"/>
  <c r="J780" i="101"/>
  <c r="J692" i="101"/>
  <c r="J628" i="101"/>
  <c r="J564" i="101"/>
  <c r="J500" i="101"/>
  <c r="J312" i="101"/>
  <c r="J924" i="101"/>
  <c r="J794" i="101"/>
  <c r="J991" i="101"/>
  <c r="J927" i="101"/>
  <c r="J832" i="101"/>
  <c r="J718" i="101"/>
  <c r="J654" i="101"/>
  <c r="J590" i="101"/>
  <c r="J498" i="101"/>
  <c r="J456" i="101"/>
  <c r="J831" i="101"/>
  <c r="J703" i="101"/>
  <c r="J575" i="101"/>
  <c r="J447" i="101"/>
  <c r="J286" i="101"/>
  <c r="J688" i="101"/>
  <c r="J624" i="101"/>
  <c r="J560" i="101"/>
  <c r="J496" i="101"/>
  <c r="J893" i="101"/>
  <c r="J912" i="101"/>
  <c r="J786" i="101"/>
  <c r="J987" i="101"/>
  <c r="J923" i="101"/>
  <c r="J824" i="101"/>
  <c r="J714" i="101"/>
  <c r="J650" i="101"/>
  <c r="J586" i="101"/>
  <c r="J490" i="101"/>
  <c r="J448" i="101"/>
  <c r="J823" i="101"/>
  <c r="J695" i="101"/>
  <c r="J567" i="101"/>
  <c r="J439" i="101"/>
  <c r="J270" i="101"/>
  <c r="J50" i="101"/>
  <c r="J114" i="101"/>
  <c r="J15" i="101"/>
  <c r="J143" i="101"/>
  <c r="J221" i="101"/>
  <c r="J285" i="101"/>
  <c r="J349" i="101"/>
  <c r="J413" i="101"/>
  <c r="J188" i="101"/>
  <c r="J73" i="101"/>
  <c r="J250" i="101"/>
  <c r="J378" i="101"/>
  <c r="J429" i="101"/>
  <c r="J493" i="101"/>
  <c r="J557" i="101"/>
  <c r="J621" i="101"/>
  <c r="J685" i="101"/>
  <c r="J749" i="101"/>
  <c r="J8" i="101"/>
  <c r="J72" i="101"/>
  <c r="J136" i="101"/>
  <c r="J59" i="101"/>
  <c r="J179" i="101"/>
  <c r="J243" i="101"/>
  <c r="J307" i="101"/>
  <c r="J371" i="101"/>
  <c r="J37" i="101"/>
  <c r="J232" i="101"/>
  <c r="J161" i="101"/>
  <c r="J294" i="101"/>
  <c r="J422" i="101"/>
  <c r="J451" i="101"/>
  <c r="J515" i="101"/>
  <c r="J579" i="101"/>
  <c r="J643" i="101"/>
  <c r="J707" i="101"/>
  <c r="J771" i="101"/>
  <c r="J835" i="101"/>
  <c r="J304" i="101"/>
  <c r="J460" i="101"/>
  <c r="J328" i="101"/>
  <c r="J502" i="101"/>
  <c r="J14" i="101"/>
  <c r="J78" i="101"/>
  <c r="J142" i="101"/>
  <c r="J71" i="101"/>
  <c r="J185" i="101"/>
  <c r="J249" i="101"/>
  <c r="J313" i="101"/>
  <c r="J377" i="101"/>
  <c r="J61" i="101"/>
  <c r="J244" i="101"/>
  <c r="J178" i="101"/>
  <c r="J306" i="101"/>
  <c r="J292" i="101"/>
  <c r="J457" i="101"/>
  <c r="J521" i="101"/>
  <c r="J585" i="101"/>
  <c r="J649" i="101"/>
  <c r="J713" i="101"/>
  <c r="J777" i="101"/>
  <c r="J36" i="101"/>
  <c r="J100" i="101"/>
  <c r="J164" i="101"/>
  <c r="J115" i="101"/>
  <c r="J207" i="101"/>
  <c r="J271" i="101"/>
  <c r="J335" i="101"/>
  <c r="J399" i="101"/>
  <c r="J149" i="101"/>
  <c r="J17" i="101"/>
  <c r="J972" i="101"/>
  <c r="J934" i="101"/>
  <c r="J846" i="101"/>
  <c r="J986" i="101"/>
  <c r="J957" i="101"/>
  <c r="J892" i="101"/>
  <c r="J764" i="101"/>
  <c r="J684" i="101"/>
  <c r="J620" i="101"/>
  <c r="J556" i="101"/>
  <c r="J492" i="101"/>
  <c r="J885" i="101"/>
  <c r="J904" i="101"/>
  <c r="J778" i="101"/>
  <c r="J983" i="101"/>
  <c r="J919" i="101"/>
  <c r="J816" i="101"/>
  <c r="J710" i="101"/>
  <c r="J646" i="101"/>
  <c r="J582" i="101"/>
  <c r="J482" i="101"/>
  <c r="J440" i="101"/>
  <c r="J815" i="101"/>
  <c r="J687" i="101"/>
  <c r="J559" i="101"/>
  <c r="J431" i="101"/>
  <c r="J254" i="101"/>
  <c r="J600" i="101"/>
  <c r="J845" i="101"/>
  <c r="J995" i="101"/>
  <c r="J722" i="101"/>
  <c r="J562" i="101"/>
  <c r="J839" i="101"/>
  <c r="J455" i="101"/>
  <c r="J122" i="101"/>
  <c r="J229" i="101"/>
  <c r="J421" i="101"/>
  <c r="J266" i="101"/>
  <c r="J469" i="101"/>
  <c r="J661" i="101"/>
  <c r="J757" i="101"/>
  <c r="J16" i="101"/>
  <c r="J80" i="101"/>
  <c r="J144" i="101"/>
  <c r="J75" i="101"/>
  <c r="J187" i="101"/>
  <c r="J251" i="101"/>
  <c r="J315" i="101"/>
  <c r="J379" i="101"/>
  <c r="J69" i="101"/>
  <c r="J248" i="101"/>
  <c r="J182" i="101"/>
  <c r="J310" i="101"/>
  <c r="J300" i="101"/>
  <c r="J459" i="101"/>
  <c r="J523" i="101"/>
  <c r="J587" i="101"/>
  <c r="J651" i="101"/>
  <c r="J715" i="101"/>
  <c r="J779" i="101"/>
  <c r="J843" i="101"/>
  <c r="J336" i="101"/>
  <c r="J468" i="101"/>
  <c r="J392" i="101"/>
  <c r="J510" i="101"/>
  <c r="J22" i="101"/>
  <c r="J86" i="101"/>
  <c r="J150" i="101"/>
  <c r="J87" i="101"/>
  <c r="J193" i="101"/>
  <c r="J257" i="101"/>
  <c r="J321" i="101"/>
  <c r="J385" i="101"/>
  <c r="J93" i="101"/>
  <c r="J260" i="101"/>
  <c r="J194" i="101"/>
  <c r="J322" i="101"/>
  <c r="J324" i="101"/>
  <c r="J465" i="101"/>
  <c r="J529" i="101"/>
  <c r="J593" i="101"/>
  <c r="J657" i="101"/>
  <c r="J721" i="101"/>
  <c r="J785" i="101"/>
  <c r="J44" i="101"/>
  <c r="J108" i="101"/>
  <c r="J3" i="101"/>
  <c r="J131" i="101"/>
  <c r="J215" i="101"/>
  <c r="J279" i="101"/>
  <c r="J343" i="101"/>
  <c r="J407" i="101"/>
  <c r="J176" i="101"/>
  <c r="J49" i="101"/>
  <c r="J940" i="101"/>
  <c r="J926" i="101"/>
  <c r="J830" i="101"/>
  <c r="J974" i="101"/>
  <c r="J949" i="101"/>
  <c r="J876" i="101"/>
  <c r="J748" i="101"/>
  <c r="J676" i="101"/>
  <c r="J612" i="101"/>
  <c r="J548" i="101"/>
  <c r="J484" i="101"/>
  <c r="J869" i="101"/>
  <c r="J890" i="101"/>
  <c r="J762" i="101"/>
  <c r="J975" i="101"/>
  <c r="J911" i="101"/>
  <c r="J800" i="101"/>
  <c r="J702" i="101"/>
  <c r="J638" i="101"/>
  <c r="J574" i="101"/>
  <c r="J458" i="101"/>
  <c r="J416" i="101"/>
  <c r="J799" i="101"/>
  <c r="J671" i="101"/>
  <c r="J543" i="101"/>
  <c r="J380" i="101"/>
  <c r="J222" i="101"/>
  <c r="J672" i="101"/>
  <c r="J608" i="101"/>
  <c r="J544" i="101"/>
  <c r="J480" i="101"/>
  <c r="J861" i="101"/>
  <c r="J882" i="101"/>
  <c r="J754" i="101"/>
  <c r="J971" i="101"/>
  <c r="J907" i="101"/>
  <c r="J792" i="101"/>
  <c r="J698" i="101"/>
  <c r="J570" i="101"/>
  <c r="J442" i="101"/>
  <c r="J791" i="101"/>
  <c r="J535" i="101"/>
  <c r="J996" i="101"/>
  <c r="J47" i="101"/>
  <c r="J237" i="101"/>
  <c r="J365" i="101"/>
  <c r="J220" i="101"/>
  <c r="J410" i="101"/>
  <c r="J509" i="101"/>
  <c r="J637" i="101"/>
  <c r="J765" i="101"/>
  <c r="J88" i="101"/>
  <c r="J195" i="101"/>
  <c r="J323" i="101"/>
  <c r="J101" i="101"/>
  <c r="J198" i="101"/>
  <c r="J332" i="101"/>
  <c r="J595" i="101"/>
  <c r="J723" i="101"/>
  <c r="J851" i="101"/>
  <c r="J809" i="101"/>
  <c r="J518" i="101"/>
  <c r="J158" i="101"/>
  <c r="J201" i="101"/>
  <c r="J329" i="101"/>
  <c r="J125" i="101"/>
  <c r="J338" i="101"/>
  <c r="J473" i="101"/>
  <c r="J601" i="101"/>
  <c r="J729" i="101"/>
  <c r="J116" i="101"/>
  <c r="J147" i="101"/>
  <c r="J287" i="101"/>
  <c r="J415" i="101"/>
  <c r="J81" i="101"/>
  <c r="J918" i="101"/>
  <c r="J960" i="101"/>
  <c r="J860" i="101"/>
  <c r="J668" i="101"/>
  <c r="J540" i="101"/>
  <c r="J476" i="101"/>
  <c r="J874" i="101"/>
  <c r="J967" i="101"/>
  <c r="J784" i="101"/>
  <c r="J630" i="101"/>
  <c r="J424" i="101"/>
  <c r="J783" i="101"/>
  <c r="J527" i="101"/>
  <c r="J316" i="101"/>
  <c r="J696" i="101"/>
  <c r="J568" i="101"/>
  <c r="J470" i="101"/>
  <c r="J932" i="101"/>
  <c r="J738" i="101"/>
  <c r="J931" i="101"/>
  <c r="J776" i="101"/>
  <c r="J658" i="101"/>
  <c r="J506" i="101"/>
  <c r="J320" i="101"/>
  <c r="J711" i="101"/>
  <c r="J519" i="101"/>
  <c r="J302" i="101"/>
  <c r="J26" i="101"/>
  <c r="J154" i="101"/>
  <c r="J159" i="101"/>
  <c r="J261" i="101"/>
  <c r="J357" i="101"/>
  <c r="J109" i="101"/>
  <c r="J105" i="101"/>
  <c r="J330" i="101"/>
  <c r="J437" i="101"/>
  <c r="J533" i="101"/>
  <c r="J629" i="101"/>
  <c r="J712" i="101"/>
  <c r="J648" i="101"/>
  <c r="J584" i="101"/>
  <c r="J520" i="101"/>
  <c r="J438" i="101"/>
  <c r="J813" i="101"/>
  <c r="J834" i="101"/>
  <c r="J970" i="101"/>
  <c r="J947" i="101"/>
  <c r="J872" i="101"/>
  <c r="J744" i="101"/>
  <c r="J674" i="101"/>
  <c r="J610" i="101"/>
  <c r="J538" i="101"/>
  <c r="J849" i="101"/>
  <c r="J871" i="101"/>
  <c r="J743" i="101"/>
  <c r="J615" i="101"/>
  <c r="J487" i="101"/>
  <c r="J366" i="101"/>
  <c r="J10" i="101"/>
  <c r="J74" i="101"/>
  <c r="J138" i="101"/>
  <c r="J63" i="101"/>
  <c r="J181" i="101"/>
  <c r="J245" i="101"/>
  <c r="J309" i="101"/>
  <c r="J373" i="101"/>
  <c r="J45" i="101"/>
  <c r="J236" i="101"/>
  <c r="J169" i="101"/>
  <c r="J298" i="101"/>
  <c r="J426" i="101"/>
  <c r="J453" i="101"/>
  <c r="J517" i="101"/>
  <c r="J581" i="101"/>
  <c r="J645" i="101"/>
  <c r="J709" i="101"/>
  <c r="J773" i="101"/>
  <c r="J32" i="101"/>
  <c r="J96" i="101"/>
  <c r="J160" i="101"/>
  <c r="J107" i="101"/>
  <c r="J203" i="101"/>
  <c r="J267" i="101"/>
  <c r="J331" i="101"/>
  <c r="J395" i="101"/>
  <c r="J133" i="101"/>
  <c r="J280" i="101"/>
  <c r="J214" i="101"/>
  <c r="J342" i="101"/>
  <c r="J364" i="101"/>
  <c r="J475" i="101"/>
  <c r="J539" i="101"/>
  <c r="J603" i="101"/>
  <c r="J667" i="101"/>
  <c r="J731" i="101"/>
  <c r="J795" i="101"/>
  <c r="J859" i="101"/>
  <c r="J400" i="101"/>
  <c r="J825" i="101"/>
  <c r="J450" i="101"/>
  <c r="J526" i="101"/>
  <c r="J38" i="101"/>
  <c r="J102" i="101"/>
  <c r="J166" i="101"/>
  <c r="J119" i="101"/>
  <c r="J209" i="101"/>
  <c r="J273" i="101"/>
  <c r="J337" i="101"/>
  <c r="J401" i="101"/>
  <c r="J157" i="101"/>
  <c r="J25" i="101"/>
  <c r="J226" i="101"/>
  <c r="J354" i="101"/>
  <c r="J388" i="101"/>
  <c r="J481" i="101"/>
  <c r="J545" i="101"/>
  <c r="J609" i="101"/>
  <c r="J673" i="101"/>
  <c r="J737" i="101"/>
  <c r="J801" i="101"/>
  <c r="J60" i="101"/>
  <c r="J124" i="101"/>
  <c r="J35" i="101"/>
  <c r="J163" i="101"/>
  <c r="J231" i="101"/>
  <c r="J295" i="101"/>
  <c r="J359" i="101"/>
  <c r="J423" i="101"/>
  <c r="J208" i="101"/>
  <c r="J113" i="101"/>
  <c r="J916" i="101"/>
  <c r="J910" i="101"/>
  <c r="J798" i="101"/>
  <c r="J946" i="101"/>
  <c r="J933" i="101"/>
  <c r="J844" i="101"/>
  <c r="J724" i="101"/>
  <c r="J660" i="101"/>
  <c r="J596" i="101"/>
  <c r="J532" i="101"/>
  <c r="J462" i="101"/>
  <c r="J837" i="101"/>
  <c r="J858" i="101"/>
  <c r="J990" i="101"/>
  <c r="J959" i="101"/>
  <c r="J895" i="101"/>
  <c r="J768" i="101"/>
  <c r="J686" i="101"/>
  <c r="J622" i="101"/>
  <c r="J558" i="101"/>
  <c r="J296" i="101"/>
  <c r="J288" i="101"/>
  <c r="J767" i="101"/>
  <c r="J639" i="101"/>
  <c r="J511" i="101"/>
  <c r="J414" i="101"/>
  <c r="J720" i="101"/>
  <c r="J656" i="101"/>
  <c r="J592" i="101"/>
  <c r="J528" i="101"/>
  <c r="J454" i="101"/>
  <c r="J829" i="101"/>
  <c r="J850" i="101"/>
  <c r="J982" i="101"/>
  <c r="J955" i="101"/>
  <c r="J888" i="101"/>
  <c r="J760" i="101"/>
  <c r="J682" i="101"/>
  <c r="J618" i="101"/>
  <c r="J554" i="101"/>
  <c r="J881" i="101"/>
  <c r="J887" i="101"/>
  <c r="J759" i="101"/>
  <c r="J631" i="101"/>
  <c r="J503" i="101"/>
  <c r="J398" i="101"/>
  <c r="J18" i="101"/>
  <c r="J82" i="101"/>
  <c r="J146" i="101"/>
  <c r="J79" i="101"/>
  <c r="J189" i="101"/>
  <c r="J253" i="101"/>
  <c r="J317" i="101"/>
  <c r="J381" i="101"/>
  <c r="J77" i="101"/>
  <c r="J252" i="101"/>
  <c r="J186" i="101"/>
  <c r="J314" i="101"/>
  <c r="J308" i="101"/>
  <c r="J461" i="101"/>
  <c r="J525" i="101"/>
  <c r="J589" i="101"/>
  <c r="J653" i="101"/>
  <c r="J717" i="101"/>
  <c r="J781" i="101"/>
  <c r="J40" i="101"/>
  <c r="J104" i="101"/>
  <c r="J168" i="101"/>
  <c r="J123" i="101"/>
  <c r="J211" i="101"/>
  <c r="J275" i="101"/>
  <c r="J339" i="101"/>
  <c r="J403" i="101"/>
  <c r="J165" i="101"/>
  <c r="J33" i="101"/>
  <c r="J230" i="101"/>
  <c r="J358" i="101"/>
  <c r="J396" i="101"/>
  <c r="J483" i="101"/>
  <c r="J547" i="101"/>
  <c r="J611" i="101"/>
  <c r="J675" i="101"/>
  <c r="J739" i="101"/>
  <c r="J803" i="101"/>
  <c r="J867" i="101"/>
  <c r="J428" i="101"/>
  <c r="J841" i="101"/>
  <c r="J466" i="101"/>
  <c r="J534" i="101"/>
  <c r="J46" i="101"/>
  <c r="J110" i="101"/>
  <c r="J7" i="101"/>
  <c r="J135" i="101"/>
  <c r="J217" i="101"/>
  <c r="J281" i="101"/>
  <c r="J345" i="101"/>
  <c r="J409" i="101"/>
  <c r="J180" i="101"/>
  <c r="J57" i="101"/>
  <c r="J242" i="101"/>
  <c r="J370" i="101"/>
  <c r="J420" i="101"/>
  <c r="J489" i="101"/>
  <c r="J553" i="101"/>
  <c r="J617" i="101"/>
  <c r="J681" i="101"/>
  <c r="J745" i="101"/>
  <c r="J4" i="101"/>
  <c r="J68" i="101"/>
  <c r="J132" i="101"/>
  <c r="J51" i="101"/>
  <c r="J175" i="101"/>
  <c r="J239" i="101"/>
  <c r="J303" i="101"/>
  <c r="J367" i="101"/>
  <c r="J21" i="101"/>
  <c r="J224" i="101"/>
  <c r="J145" i="101"/>
  <c r="J900" i="101"/>
  <c r="J902" i="101"/>
  <c r="J782" i="101"/>
  <c r="J989" i="101"/>
  <c r="J925" i="101"/>
  <c r="J828" i="101"/>
  <c r="J716" i="101"/>
  <c r="J652" i="101"/>
  <c r="J588" i="101"/>
  <c r="J524" i="101"/>
  <c r="J446" i="101"/>
  <c r="J821" i="101"/>
  <c r="J842" i="101"/>
  <c r="J976" i="101"/>
  <c r="J951" i="101"/>
  <c r="J880" i="101"/>
  <c r="J752" i="101"/>
  <c r="J678" i="101"/>
  <c r="J614" i="101"/>
  <c r="J546" i="101"/>
  <c r="J865" i="101"/>
  <c r="J879" i="101"/>
  <c r="J751" i="101"/>
  <c r="J623" i="101"/>
  <c r="J495" i="101"/>
  <c r="J382" i="101"/>
  <c r="J664" i="101"/>
  <c r="J504" i="101"/>
  <c r="J802" i="101"/>
  <c r="J899" i="101"/>
  <c r="J626" i="101"/>
  <c r="J464" i="101"/>
  <c r="J647" i="101"/>
  <c r="J58" i="101"/>
  <c r="J95" i="101"/>
  <c r="J325" i="101"/>
  <c r="J268" i="101"/>
  <c r="J394" i="101"/>
  <c r="J565" i="101"/>
  <c r="J693" i="101"/>
  <c r="J789" i="101"/>
  <c r="J48" i="101"/>
  <c r="J112" i="101"/>
  <c r="J11" i="101"/>
  <c r="J139" i="101"/>
  <c r="J219" i="101"/>
  <c r="J283" i="101"/>
  <c r="J347" i="101"/>
  <c r="J411" i="101"/>
  <c r="J184" i="101"/>
  <c r="J65" i="101"/>
  <c r="J246" i="101"/>
  <c r="J374" i="101"/>
  <c r="J427" i="101"/>
  <c r="J491" i="101"/>
  <c r="J555" i="101"/>
  <c r="J619" i="101"/>
  <c r="J683" i="101"/>
  <c r="J747" i="101"/>
  <c r="J811" i="101"/>
  <c r="J875" i="101"/>
  <c r="J436" i="101"/>
  <c r="J857" i="101"/>
  <c r="J478" i="101"/>
  <c r="J542" i="101"/>
  <c r="J54" i="101"/>
  <c r="J118" i="101"/>
  <c r="J23" i="101"/>
  <c r="J151" i="101"/>
  <c r="J225" i="101"/>
  <c r="J289" i="101"/>
  <c r="J353" i="101"/>
  <c r="J417" i="101"/>
  <c r="J196" i="101"/>
  <c r="J89" i="101"/>
  <c r="J258" i="101"/>
  <c r="J386" i="101"/>
  <c r="J433" i="101"/>
  <c r="J497" i="101"/>
  <c r="J561" i="101"/>
  <c r="J625" i="101"/>
  <c r="J689" i="101"/>
  <c r="J753" i="101"/>
  <c r="J12" i="101"/>
  <c r="J76" i="101"/>
  <c r="J140" i="101"/>
  <c r="J67" i="101"/>
  <c r="J183" i="101"/>
  <c r="J247" i="101"/>
  <c r="J311" i="101"/>
  <c r="J375" i="101"/>
  <c r="J53" i="101"/>
  <c r="J240" i="101"/>
  <c r="J174" i="101"/>
  <c r="J978" i="101"/>
  <c r="J894" i="101"/>
  <c r="J766" i="101"/>
  <c r="J981" i="101"/>
  <c r="J917" i="101"/>
  <c r="J812" i="101"/>
  <c r="J708" i="101"/>
  <c r="J644" i="101"/>
  <c r="J580" i="101"/>
  <c r="J516" i="101"/>
  <c r="J430" i="101"/>
  <c r="J984" i="101"/>
  <c r="J826" i="101"/>
  <c r="J964" i="101"/>
  <c r="J943" i="101"/>
  <c r="J864" i="101"/>
  <c r="J736" i="101"/>
  <c r="J670" i="101"/>
  <c r="J606" i="101"/>
  <c r="J530" i="101"/>
  <c r="J833" i="101"/>
  <c r="J863" i="101"/>
  <c r="J735" i="101"/>
  <c r="J607" i="101"/>
  <c r="J479" i="101"/>
  <c r="J350" i="101"/>
  <c r="J704" i="101"/>
  <c r="J640" i="101"/>
  <c r="J576" i="101"/>
  <c r="J512" i="101"/>
  <c r="J408" i="101"/>
  <c r="J962" i="101"/>
  <c r="J818" i="101"/>
  <c r="J956" i="101"/>
  <c r="J939" i="101"/>
  <c r="J856" i="101"/>
  <c r="J730" i="101"/>
  <c r="J666" i="101"/>
  <c r="J602" i="101"/>
  <c r="J522" i="101"/>
  <c r="J817" i="101"/>
  <c r="J855" i="101"/>
  <c r="J727" i="101"/>
  <c r="J599" i="101"/>
  <c r="J471" i="101"/>
  <c r="J334" i="101"/>
  <c r="J34" i="101"/>
  <c r="J98" i="101"/>
  <c r="J162" i="101"/>
  <c r="J111" i="101"/>
  <c r="J205" i="101"/>
  <c r="J269" i="101"/>
  <c r="J333" i="101"/>
  <c r="J397" i="101"/>
  <c r="J141" i="101"/>
  <c r="J9" i="101"/>
  <c r="J218" i="101"/>
  <c r="J346" i="101"/>
  <c r="J372" i="101"/>
  <c r="J477" i="101"/>
  <c r="J541" i="101"/>
  <c r="J605" i="101"/>
  <c r="J669" i="101"/>
  <c r="J733" i="101"/>
  <c r="J797" i="101"/>
  <c r="J56" i="101"/>
  <c r="J120" i="101"/>
  <c r="J27" i="101"/>
  <c r="J155" i="101"/>
  <c r="J227" i="101"/>
  <c r="J291" i="101"/>
  <c r="J355" i="101"/>
  <c r="J419" i="101"/>
  <c r="J200" i="101"/>
  <c r="J97" i="101"/>
  <c r="J262" i="101"/>
  <c r="J390" i="101"/>
  <c r="J435" i="101"/>
  <c r="J499" i="101"/>
  <c r="J563" i="101"/>
  <c r="J627" i="101"/>
  <c r="J691" i="101"/>
  <c r="J755" i="101"/>
  <c r="J819" i="101"/>
  <c r="J883" i="101"/>
  <c r="J444" i="101"/>
  <c r="J873" i="101"/>
  <c r="J486" i="101"/>
  <c r="J550" i="101"/>
  <c r="J62" i="101"/>
  <c r="J126" i="101"/>
  <c r="J39" i="101"/>
  <c r="J167" i="101"/>
  <c r="J233" i="101"/>
  <c r="J297" i="101"/>
  <c r="J361" i="101"/>
  <c r="J425" i="101"/>
  <c r="J212" i="101"/>
  <c r="J121" i="101"/>
  <c r="J274" i="101"/>
  <c r="J402" i="101"/>
  <c r="J441" i="101"/>
  <c r="J505" i="101"/>
  <c r="J569" i="101"/>
  <c r="J633" i="101"/>
  <c r="J697" i="101"/>
  <c r="J761" i="101"/>
  <c r="J20" i="101"/>
  <c r="J84" i="101"/>
  <c r="J148" i="101"/>
  <c r="J83" i="101"/>
  <c r="J191" i="101"/>
  <c r="J255" i="101"/>
  <c r="J319" i="101"/>
  <c r="J383" i="101"/>
  <c r="J85" i="101"/>
  <c r="J256" i="101"/>
  <c r="J190" i="101"/>
  <c r="J958" i="101"/>
  <c r="J878" i="101"/>
  <c r="J750" i="101"/>
  <c r="J973" i="101"/>
  <c r="J909" i="101"/>
  <c r="J796" i="101"/>
  <c r="J700" i="101"/>
  <c r="J636" i="101"/>
  <c r="J572" i="101"/>
  <c r="J508" i="101"/>
  <c r="J376" i="101"/>
  <c r="J944" i="101"/>
  <c r="J810" i="101"/>
  <c r="J950" i="101"/>
  <c r="J935" i="101"/>
  <c r="J848" i="101"/>
  <c r="J726" i="101"/>
  <c r="J662" i="101"/>
  <c r="J598" i="101"/>
  <c r="J514" i="101"/>
  <c r="J472" i="101"/>
  <c r="J847" i="101"/>
  <c r="J719" i="101"/>
  <c r="J591" i="101"/>
  <c r="J463" i="101"/>
  <c r="J318" i="101"/>
  <c r="J634" i="101"/>
  <c r="J384" i="101"/>
  <c r="J663" i="101"/>
  <c r="J348" i="101"/>
  <c r="J66" i="101"/>
  <c r="J130" i="101"/>
  <c r="J173" i="101"/>
  <c r="J301" i="101"/>
  <c r="J13" i="101"/>
  <c r="J137" i="101"/>
  <c r="J282" i="101"/>
  <c r="J445" i="101"/>
  <c r="J573" i="101"/>
  <c r="J701" i="101"/>
  <c r="J24" i="101"/>
  <c r="J152" i="101"/>
  <c r="J91" i="101"/>
  <c r="J259" i="101"/>
  <c r="J387" i="101"/>
  <c r="J264" i="101"/>
  <c r="J326" i="101"/>
  <c r="J467" i="101"/>
  <c r="J531" i="101"/>
  <c r="J659" i="101"/>
  <c r="J787" i="101"/>
  <c r="J368" i="101"/>
  <c r="J434" i="101"/>
  <c r="J30" i="101"/>
  <c r="J94" i="101"/>
  <c r="J103" i="101"/>
  <c r="J265" i="101"/>
  <c r="J393" i="101"/>
  <c r="J276" i="101"/>
  <c r="J210" i="101"/>
  <c r="J356" i="101"/>
  <c r="J537" i="101"/>
  <c r="J665" i="101"/>
  <c r="J793" i="101"/>
  <c r="J52" i="101"/>
  <c r="J19" i="101"/>
  <c r="J223" i="101"/>
  <c r="J351" i="101"/>
  <c r="J192" i="101"/>
  <c r="J928" i="101"/>
  <c r="J814" i="101"/>
  <c r="J941" i="101"/>
  <c r="J732" i="101"/>
  <c r="J604" i="101"/>
  <c r="J853" i="101"/>
  <c r="J746" i="101"/>
  <c r="J903" i="101"/>
  <c r="J694" i="101"/>
  <c r="J566" i="101"/>
  <c r="J352" i="101"/>
  <c r="J655" i="101"/>
  <c r="J968" i="101"/>
  <c r="J756" i="101"/>
  <c r="J936" i="101"/>
  <c r="J945" i="101"/>
  <c r="J790" i="101"/>
  <c r="J988" i="101"/>
  <c r="J905" i="101"/>
  <c r="J774" i="101"/>
  <c r="J908" i="101"/>
  <c r="J953" i="101"/>
  <c r="J886" i="101"/>
  <c r="J884" i="101"/>
  <c r="J922" i="101"/>
  <c r="J948" i="101"/>
  <c r="J870" i="101"/>
  <c r="J913" i="101"/>
  <c r="J930" i="101"/>
  <c r="J966" i="101"/>
  <c r="J985" i="101"/>
  <c r="J758" i="101"/>
  <c r="J993" i="101"/>
  <c r="J868" i="101"/>
  <c r="J954" i="101"/>
  <c r="J898" i="101"/>
  <c r="J788" i="101"/>
  <c r="J977" i="101"/>
  <c r="J906" i="101"/>
  <c r="J897" i="101"/>
  <c r="J980" i="101"/>
  <c r="J920" i="101"/>
  <c r="J992" i="101"/>
  <c r="J852" i="101"/>
  <c r="J921" i="101"/>
  <c r="J820" i="101"/>
  <c r="J969" i="101"/>
  <c r="J854" i="101"/>
  <c r="J952" i="101"/>
  <c r="J937" i="101"/>
  <c r="J838" i="101"/>
  <c r="J994" i="101"/>
  <c r="J929" i="101"/>
  <c r="J822" i="101"/>
  <c r="J804" i="101"/>
  <c r="J806" i="101"/>
  <c r="J742" i="101"/>
  <c r="J836" i="101"/>
  <c r="J938" i="101"/>
  <c r="J772" i="101"/>
  <c r="J914" i="101"/>
  <c r="J961" i="101"/>
  <c r="D35" i="30"/>
  <c r="B7307" i="87" s="1"/>
  <c r="C7307" i="87" s="1"/>
  <c r="D83" i="14"/>
  <c r="D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I35" i="30" l="1"/>
  <c r="B7312" i="87" s="1"/>
  <c r="C7312" i="87" s="1"/>
  <c r="I34" i="30"/>
  <c r="K35" i="30"/>
  <c r="B7842" i="87" s="1"/>
  <c r="C7842" i="87" s="1"/>
  <c r="J35" i="30"/>
  <c r="B7313" i="87" s="1"/>
  <c r="C7313" i="87" s="1"/>
  <c r="H35" i="30"/>
  <c r="B7311" i="87" s="1"/>
  <c r="C7311" i="87" s="1"/>
  <c r="G35" i="30"/>
  <c r="B7310" i="87" s="1"/>
  <c r="C7310" i="87" s="1"/>
  <c r="F35" i="30"/>
  <c r="B7309" i="87" s="1"/>
  <c r="C7309" i="87" s="1"/>
  <c r="E35" i="30"/>
  <c r="B7308" i="87" s="1"/>
  <c r="C7308" i="87" s="1"/>
  <c r="L35" i="30" l="1"/>
  <c r="B7314" i="87" s="1"/>
  <c r="C7314" i="87" s="1"/>
  <c r="L363" i="30" l="1"/>
  <c r="L364" i="30"/>
  <c r="L414" i="30"/>
  <c r="B7836" i="87" s="1"/>
  <c r="C7836" i="87" s="1"/>
  <c r="I413" i="30"/>
  <c r="B7655" i="87" s="1"/>
  <c r="C7655" i="87" s="1"/>
  <c r="F413" i="30"/>
  <c r="B7476" i="87" s="1"/>
  <c r="C7476" i="87" s="1"/>
  <c r="L412" i="30"/>
  <c r="G166" i="84" s="1"/>
  <c r="L411" i="30"/>
  <c r="B7833" i="87" s="1"/>
  <c r="C7833" i="87" s="1"/>
  <c r="L410" i="30"/>
  <c r="B7832" i="87" s="1"/>
  <c r="C7832" i="87" s="1"/>
  <c r="L409" i="30"/>
  <c r="B7831" i="87" s="1"/>
  <c r="C7831" i="87" s="1"/>
  <c r="L408" i="30"/>
  <c r="B7830" i="87" s="1"/>
  <c r="C7830" i="87" s="1"/>
  <c r="L407" i="30"/>
  <c r="B7829" i="87" s="1"/>
  <c r="C7829" i="87" s="1"/>
  <c r="L406" i="30"/>
  <c r="B7828" i="87" s="1"/>
  <c r="C7828" i="87" s="1"/>
  <c r="I405" i="30"/>
  <c r="B7647" i="87" s="1"/>
  <c r="C7647" i="87" s="1"/>
  <c r="L404" i="30"/>
  <c r="G165" i="84" s="1"/>
  <c r="L403" i="30"/>
  <c r="B7825" i="87" s="1"/>
  <c r="C7825" i="87" s="1"/>
  <c r="L402" i="30"/>
  <c r="B7824" i="87" s="1"/>
  <c r="C7824" i="87" s="1"/>
  <c r="L401" i="30"/>
  <c r="B7823" i="87" s="1"/>
  <c r="C7823" i="87" s="1"/>
  <c r="L400" i="30"/>
  <c r="B7822" i="87" s="1"/>
  <c r="C7822" i="87" s="1"/>
  <c r="L399" i="30"/>
  <c r="B7821" i="87" s="1"/>
  <c r="C7821" i="87" s="1"/>
  <c r="L398" i="30"/>
  <c r="B7820" i="87" s="1"/>
  <c r="C7820" i="87" s="1"/>
  <c r="I397" i="30"/>
  <c r="F397" i="30"/>
  <c r="L396" i="30"/>
  <c r="G164" i="84" s="1"/>
  <c r="L395" i="30"/>
  <c r="B7817" i="87" s="1"/>
  <c r="C7817" i="87" s="1"/>
  <c r="L394" i="30"/>
  <c r="B7816" i="87" s="1"/>
  <c r="C7816" i="87" s="1"/>
  <c r="L393" i="30"/>
  <c r="B7815" i="87" s="1"/>
  <c r="C7815" i="87" s="1"/>
  <c r="L392" i="30"/>
  <c r="B7013" i="87" s="1"/>
  <c r="C7013" i="87" s="1"/>
  <c r="L391" i="30"/>
  <c r="B7011" i="87" s="1"/>
  <c r="C7011" i="87" s="1"/>
  <c r="L388" i="30"/>
  <c r="L386" i="30"/>
  <c r="G163" i="84" s="1"/>
  <c r="K385" i="30"/>
  <c r="B7749" i="87" s="1"/>
  <c r="C7749" i="87" s="1"/>
  <c r="J385" i="30"/>
  <c r="B7701" i="87" s="1"/>
  <c r="C7701" i="87" s="1"/>
  <c r="I385" i="30"/>
  <c r="B7631" i="87" s="1"/>
  <c r="C7631" i="87" s="1"/>
  <c r="H385" i="30"/>
  <c r="B7570" i="87" s="1"/>
  <c r="C7570" i="87" s="1"/>
  <c r="G385" i="30"/>
  <c r="B7523" i="87" s="1"/>
  <c r="C7523" i="87" s="1"/>
  <c r="F385" i="30"/>
  <c r="B7466" i="87" s="1"/>
  <c r="C7466" i="87" s="1"/>
  <c r="E385" i="30"/>
  <c r="B7417" i="87" s="1"/>
  <c r="C7417" i="87" s="1"/>
  <c r="D385" i="30"/>
  <c r="B7369" i="87" s="1"/>
  <c r="C7369" i="87" s="1"/>
  <c r="L384" i="30"/>
  <c r="B7810" i="87" s="1"/>
  <c r="C7810" i="87" s="1"/>
  <c r="L383" i="30"/>
  <c r="B7809" i="87" s="1"/>
  <c r="C7809" i="87" s="1"/>
  <c r="L382" i="30"/>
  <c r="B7808" i="87" s="1"/>
  <c r="C7808" i="87" s="1"/>
  <c r="L381" i="30"/>
  <c r="B7807" i="87" s="1"/>
  <c r="C7807" i="87" s="1"/>
  <c r="L380" i="30"/>
  <c r="K378" i="30"/>
  <c r="B7743" i="87" s="1"/>
  <c r="C7743" i="87" s="1"/>
  <c r="J378" i="30"/>
  <c r="B7695" i="87" s="1"/>
  <c r="C7695" i="87" s="1"/>
  <c r="I378" i="30"/>
  <c r="B7625" i="87" s="1"/>
  <c r="C7625" i="87" s="1"/>
  <c r="H378" i="30"/>
  <c r="B7564" i="87" s="1"/>
  <c r="C7564" i="87" s="1"/>
  <c r="G378" i="30"/>
  <c r="B7517" i="87" s="1"/>
  <c r="C7517" i="87" s="1"/>
  <c r="F378" i="30"/>
  <c r="B7460" i="87" s="1"/>
  <c r="C7460" i="87" s="1"/>
  <c r="E378" i="30"/>
  <c r="B7411" i="87" s="1"/>
  <c r="C7411" i="87" s="1"/>
  <c r="D378" i="30"/>
  <c r="B7363" i="87" s="1"/>
  <c r="C7363" i="87" s="1"/>
  <c r="L377" i="30"/>
  <c r="L376" i="30"/>
  <c r="B7803" i="87" s="1"/>
  <c r="C7803" i="87" s="1"/>
  <c r="L375" i="30"/>
  <c r="B7802" i="87" s="1"/>
  <c r="C7802" i="87" s="1"/>
  <c r="L374" i="30"/>
  <c r="B7801" i="87" s="1"/>
  <c r="C7801" i="87" s="1"/>
  <c r="L372" i="30"/>
  <c r="B7800" i="87" s="1"/>
  <c r="C7800" i="87" s="1"/>
  <c r="L371" i="30"/>
  <c r="K369" i="30"/>
  <c r="B7736" i="87" s="1"/>
  <c r="C7736" i="87" s="1"/>
  <c r="J369" i="30"/>
  <c r="B7688" i="87" s="1"/>
  <c r="C7688" i="87" s="1"/>
  <c r="I369" i="30"/>
  <c r="B7618" i="87" s="1"/>
  <c r="C7618" i="87" s="1"/>
  <c r="H369" i="30"/>
  <c r="B7557" i="87" s="1"/>
  <c r="C7557" i="87" s="1"/>
  <c r="G369" i="30"/>
  <c r="B7510" i="87" s="1"/>
  <c r="C7510" i="87" s="1"/>
  <c r="F369" i="30"/>
  <c r="B7453" i="87" s="1"/>
  <c r="C7453" i="87" s="1"/>
  <c r="E369" i="30"/>
  <c r="B7404" i="87" s="1"/>
  <c r="C7404" i="87" s="1"/>
  <c r="D369" i="30"/>
  <c r="B7356" i="87" s="1"/>
  <c r="C7356" i="87" s="1"/>
  <c r="L368" i="30"/>
  <c r="G162" i="84" s="1"/>
  <c r="L367" i="30"/>
  <c r="B7796" i="87" s="1"/>
  <c r="C7796" i="87" s="1"/>
  <c r="K365" i="30"/>
  <c r="B7840" i="87" s="1"/>
  <c r="C7840" i="87" s="1"/>
  <c r="J365" i="30"/>
  <c r="B6570" i="87" s="1"/>
  <c r="I365" i="30"/>
  <c r="B6569" i="87" s="1"/>
  <c r="H365" i="30"/>
  <c r="B6568" i="87" s="1"/>
  <c r="G365" i="30"/>
  <c r="B6567" i="87" s="1"/>
  <c r="F365" i="30"/>
  <c r="B6566" i="87" s="1"/>
  <c r="E365" i="30"/>
  <c r="B6565" i="87" s="1"/>
  <c r="D365" i="30"/>
  <c r="B6564" i="87" s="1"/>
  <c r="L362" i="30"/>
  <c r="L361" i="30"/>
  <c r="L360" i="30"/>
  <c r="B7793" i="87" s="1"/>
  <c r="C7793" i="87" s="1"/>
  <c r="K358" i="30"/>
  <c r="B7730" i="87" s="1"/>
  <c r="C7730" i="87" s="1"/>
  <c r="J358" i="30"/>
  <c r="B7682" i="87" s="1"/>
  <c r="C7682" i="87" s="1"/>
  <c r="I358" i="30"/>
  <c r="B7612" i="87" s="1"/>
  <c r="C7612" i="87" s="1"/>
  <c r="H358" i="30"/>
  <c r="B7551" i="87" s="1"/>
  <c r="C7551" i="87" s="1"/>
  <c r="G358" i="30"/>
  <c r="B7504" i="87" s="1"/>
  <c r="C7504" i="87" s="1"/>
  <c r="F358" i="30"/>
  <c r="B7447" i="87" s="1"/>
  <c r="C7447" i="87" s="1"/>
  <c r="E358" i="30"/>
  <c r="B7398" i="87" s="1"/>
  <c r="C7398" i="87" s="1"/>
  <c r="D358" i="30"/>
  <c r="B7350" i="87" s="1"/>
  <c r="C7350" i="87" s="1"/>
  <c r="L357" i="30"/>
  <c r="B7791" i="87" s="1"/>
  <c r="C7791" i="87" s="1"/>
  <c r="L356" i="30"/>
  <c r="B7790" i="87" s="1"/>
  <c r="C7790" i="87" s="1"/>
  <c r="L355" i="30"/>
  <c r="B7789" i="87" s="1"/>
  <c r="C7789" i="87" s="1"/>
  <c r="K353" i="30"/>
  <c r="B7726" i="87" s="1"/>
  <c r="C7726" i="87" s="1"/>
  <c r="J353" i="30"/>
  <c r="B7678" i="87" s="1"/>
  <c r="C7678" i="87" s="1"/>
  <c r="I353" i="30"/>
  <c r="B7608" i="87" s="1"/>
  <c r="C7608" i="87" s="1"/>
  <c r="H353" i="30"/>
  <c r="B7548" i="87" s="1"/>
  <c r="C7548" i="87" s="1"/>
  <c r="G353" i="30"/>
  <c r="B7500" i="87" s="1"/>
  <c r="C7500" i="87" s="1"/>
  <c r="F353" i="30"/>
  <c r="B7443" i="87" s="1"/>
  <c r="C7443" i="87" s="1"/>
  <c r="E353" i="30"/>
  <c r="B7394" i="87" s="1"/>
  <c r="C7394" i="87" s="1"/>
  <c r="D353" i="30"/>
  <c r="B7346" i="87" s="1"/>
  <c r="C7346" i="87" s="1"/>
  <c r="L352" i="30"/>
  <c r="G161" i="84" s="1"/>
  <c r="L351" i="30"/>
  <c r="B7786" i="87" s="1"/>
  <c r="C7786" i="87" s="1"/>
  <c r="L350" i="30"/>
  <c r="B7785" i="87" s="1"/>
  <c r="C7785" i="87" s="1"/>
  <c r="L349" i="30"/>
  <c r="B7784" i="87" s="1"/>
  <c r="C7784" i="87" s="1"/>
  <c r="L348" i="30"/>
  <c r="B7783" i="87" s="1"/>
  <c r="C7783" i="87" s="1"/>
  <c r="L347" i="30"/>
  <c r="B7782" i="87" s="1"/>
  <c r="C7782" i="87" s="1"/>
  <c r="K344" i="30"/>
  <c r="B7719" i="87" s="1"/>
  <c r="C7719" i="87" s="1"/>
  <c r="J344" i="30"/>
  <c r="B7671" i="87" s="1"/>
  <c r="C7671" i="87" s="1"/>
  <c r="I344" i="30"/>
  <c r="H344" i="30"/>
  <c r="B7541" i="87" s="1"/>
  <c r="C7541" i="87" s="1"/>
  <c r="G344" i="30"/>
  <c r="B7493" i="87" s="1"/>
  <c r="C7493" i="87" s="1"/>
  <c r="F344" i="30"/>
  <c r="E344" i="30"/>
  <c r="B7387" i="87" s="1"/>
  <c r="C7387" i="87" s="1"/>
  <c r="D344" i="30"/>
  <c r="B7339" i="87" s="1"/>
  <c r="C7339" i="87" s="1"/>
  <c r="L343" i="30"/>
  <c r="B7780" i="87" s="1"/>
  <c r="C7780" i="87" s="1"/>
  <c r="L342" i="30"/>
  <c r="B7779" i="87" s="1"/>
  <c r="C7779" i="87" s="1"/>
  <c r="L341" i="30"/>
  <c r="B7778" i="87" s="1"/>
  <c r="C7778" i="87" s="1"/>
  <c r="L340" i="30"/>
  <c r="B7777" i="87" s="1"/>
  <c r="C7777" i="87" s="1"/>
  <c r="L339" i="30"/>
  <c r="B7776" i="87" s="1"/>
  <c r="C7776" i="87" s="1"/>
  <c r="L338" i="30"/>
  <c r="B7775" i="87" s="1"/>
  <c r="C7775" i="87" s="1"/>
  <c r="L337" i="30"/>
  <c r="B7774" i="87" s="1"/>
  <c r="C7774" i="87" s="1"/>
  <c r="L336" i="30"/>
  <c r="B7773" i="87" s="1"/>
  <c r="C7773" i="87" s="1"/>
  <c r="L335" i="30"/>
  <c r="B7772" i="87" s="1"/>
  <c r="C7772" i="87" s="1"/>
  <c r="L334" i="30"/>
  <c r="B7771" i="87" s="1"/>
  <c r="C7771" i="87" s="1"/>
  <c r="L333" i="30"/>
  <c r="B7770" i="87" s="1"/>
  <c r="C7770" i="87" s="1"/>
  <c r="L332" i="30"/>
  <c r="B7769" i="87" s="1"/>
  <c r="C7769" i="87" s="1"/>
  <c r="L331" i="30"/>
  <c r="B7768" i="87" s="1"/>
  <c r="C7768" i="87" s="1"/>
  <c r="L330" i="30"/>
  <c r="B7767" i="87" s="1"/>
  <c r="C7767" i="87" s="1"/>
  <c r="L329" i="30"/>
  <c r="B7766" i="87" s="1"/>
  <c r="C7766" i="87" s="1"/>
  <c r="L328" i="30"/>
  <c r="B7765" i="87" s="1"/>
  <c r="C7765" i="87" s="1"/>
  <c r="L327" i="30"/>
  <c r="B7764" i="87" s="1"/>
  <c r="C7764" i="87" s="1"/>
  <c r="L326" i="30"/>
  <c r="B7763" i="87" s="1"/>
  <c r="C7763" i="87" s="1"/>
  <c r="L325" i="30"/>
  <c r="B7762" i="87" s="1"/>
  <c r="C7762" i="87" s="1"/>
  <c r="L324" i="30"/>
  <c r="B7761" i="87" s="1"/>
  <c r="C7761" i="87" s="1"/>
  <c r="L323" i="30"/>
  <c r="B7760" i="87" s="1"/>
  <c r="C7760" i="87" s="1"/>
  <c r="L322" i="30"/>
  <c r="B7759" i="87" s="1"/>
  <c r="C7759" i="87" s="1"/>
  <c r="L321" i="30"/>
  <c r="B7758" i="87" s="1"/>
  <c r="C7758" i="87" s="1"/>
  <c r="L320" i="30"/>
  <c r="B7757" i="87" s="1"/>
  <c r="C7757" i="87" s="1"/>
  <c r="L319" i="30"/>
  <c r="B7756" i="87" s="1"/>
  <c r="C7756" i="87" s="1"/>
  <c r="L318" i="30"/>
  <c r="B7755" i="87" s="1"/>
  <c r="C7755" i="87" s="1"/>
  <c r="L317" i="30"/>
  <c r="B7754" i="87" s="1"/>
  <c r="C7754" i="87" s="1"/>
  <c r="L316" i="30"/>
  <c r="B7753" i="87" s="1"/>
  <c r="C7753" i="87" s="1"/>
  <c r="L434" i="30"/>
  <c r="L435" i="30"/>
  <c r="D436" i="30"/>
  <c r="D438" i="30" s="1"/>
  <c r="D453" i="30" s="1"/>
  <c r="E436" i="30"/>
  <c r="E438" i="30" s="1"/>
  <c r="E453" i="30" s="1"/>
  <c r="F436" i="30"/>
  <c r="F438" i="30" s="1"/>
  <c r="F453" i="30" s="1"/>
  <c r="G436" i="30"/>
  <c r="G438" i="30" s="1"/>
  <c r="G453" i="30" s="1"/>
  <c r="H436" i="30"/>
  <c r="H438" i="30" s="1"/>
  <c r="H453" i="30" s="1"/>
  <c r="I436" i="30"/>
  <c r="I438" i="30" s="1"/>
  <c r="J436" i="30"/>
  <c r="J438" i="30" s="1"/>
  <c r="J453" i="30" s="1"/>
  <c r="L437" i="30"/>
  <c r="G170" i="84" s="1"/>
  <c r="L440" i="30"/>
  <c r="L441" i="30"/>
  <c r="L442" i="30"/>
  <c r="G171" i="84" s="1"/>
  <c r="I443" i="30"/>
  <c r="L446" i="30"/>
  <c r="L447" i="30"/>
  <c r="G172" i="84" s="1"/>
  <c r="I448" i="30"/>
  <c r="I451" i="30" s="1"/>
  <c r="L449" i="30"/>
  <c r="L450" i="30"/>
  <c r="G173" i="84" s="1"/>
  <c r="L452" i="30"/>
  <c r="C24" i="97"/>
  <c r="B7217" i="87" s="1"/>
  <c r="C7217" i="87" s="1"/>
  <c r="J34" i="30"/>
  <c r="K34" i="30"/>
  <c r="L33" i="30"/>
  <c r="E34" i="30"/>
  <c r="F34" i="30"/>
  <c r="G34" i="30"/>
  <c r="H34" i="30"/>
  <c r="B173" i="84" l="1"/>
  <c r="C173" i="84" s="1"/>
  <c r="E173" i="84"/>
  <c r="A173" i="84"/>
  <c r="B172" i="84"/>
  <c r="A172" i="84"/>
  <c r="B171" i="84"/>
  <c r="A171" i="84"/>
  <c r="A170" i="84"/>
  <c r="B170" i="84"/>
  <c r="A166" i="84"/>
  <c r="B166" i="84"/>
  <c r="C166" i="84" s="1"/>
  <c r="B165" i="84"/>
  <c r="C165" i="84" s="1"/>
  <c r="A165" i="84"/>
  <c r="A164" i="84"/>
  <c r="B164" i="84"/>
  <c r="C164" i="84" s="1"/>
  <c r="B163" i="84"/>
  <c r="C163" i="84" s="1"/>
  <c r="A163" i="84"/>
  <c r="A162" i="84"/>
  <c r="B162" i="84"/>
  <c r="B161" i="84"/>
  <c r="C161" i="84" s="1"/>
  <c r="A161" i="84"/>
  <c r="B7436" i="87"/>
  <c r="C7436" i="87" s="1"/>
  <c r="E166" i="84"/>
  <c r="E165" i="84"/>
  <c r="E164" i="84"/>
  <c r="E163" i="84"/>
  <c r="E161" i="84"/>
  <c r="B7834" i="87"/>
  <c r="C7834" i="87" s="1"/>
  <c r="B7826" i="87"/>
  <c r="C7826" i="87" s="1"/>
  <c r="B7818" i="87"/>
  <c r="C7818" i="87" s="1"/>
  <c r="B7812" i="87"/>
  <c r="C7812" i="87" s="1"/>
  <c r="B7787" i="87"/>
  <c r="C7787" i="87" s="1"/>
  <c r="B7601" i="87"/>
  <c r="C7601" i="87" s="1"/>
  <c r="K18" i="99"/>
  <c r="B7795" i="87"/>
  <c r="C7795" i="87" s="1"/>
  <c r="K19" i="99"/>
  <c r="B7797" i="87"/>
  <c r="C7797" i="87" s="1"/>
  <c r="K21" i="99"/>
  <c r="B7804" i="87"/>
  <c r="C7804" i="87" s="1"/>
  <c r="B7474" i="87"/>
  <c r="C7474" i="87" s="1"/>
  <c r="F415" i="30"/>
  <c r="B7478" i="87" s="1"/>
  <c r="C7478" i="87" s="1"/>
  <c r="C87" i="73"/>
  <c r="B7041" i="87" s="1"/>
  <c r="C7041" i="87" s="1"/>
  <c r="B7306" i="87"/>
  <c r="C7306" i="87" s="1"/>
  <c r="K17" i="99"/>
  <c r="B7794" i="87"/>
  <c r="C7794" i="87" s="1"/>
  <c r="K20" i="99"/>
  <c r="B7799" i="87"/>
  <c r="C7799" i="87" s="1"/>
  <c r="K22" i="99"/>
  <c r="B7806" i="87"/>
  <c r="C7806" i="87" s="1"/>
  <c r="J15" i="73"/>
  <c r="B7038" i="87" s="1"/>
  <c r="C7038" i="87" s="1"/>
  <c r="B7814" i="87"/>
  <c r="C7814" i="87" s="1"/>
  <c r="B7014" i="87"/>
  <c r="C7014" i="87" s="1"/>
  <c r="I415" i="30"/>
  <c r="C88" i="73"/>
  <c r="C25" i="97"/>
  <c r="B7218" i="87" s="1"/>
  <c r="C7218" i="87" s="1"/>
  <c r="L436" i="30"/>
  <c r="L438" i="30" s="1"/>
  <c r="H387" i="30"/>
  <c r="B7572" i="87" s="1"/>
  <c r="C7572" i="87" s="1"/>
  <c r="L385" i="30"/>
  <c r="B7811" i="87" s="1"/>
  <c r="C7811" i="87" s="1"/>
  <c r="D387" i="30"/>
  <c r="B7371" i="87" s="1"/>
  <c r="C7371" i="87" s="1"/>
  <c r="L358" i="30"/>
  <c r="B7792" i="87" s="1"/>
  <c r="C7792" i="87" s="1"/>
  <c r="E387" i="30"/>
  <c r="B7419" i="87" s="1"/>
  <c r="C7419" i="87" s="1"/>
  <c r="I387" i="30"/>
  <c r="L378" i="30"/>
  <c r="B7805" i="87" s="1"/>
  <c r="C7805" i="87" s="1"/>
  <c r="F387" i="30"/>
  <c r="B7468" i="87" s="1"/>
  <c r="C7468" i="87" s="1"/>
  <c r="J387" i="30"/>
  <c r="B7703" i="87" s="1"/>
  <c r="C7703" i="87" s="1"/>
  <c r="L344" i="30"/>
  <c r="L353" i="30"/>
  <c r="B7788" i="87" s="1"/>
  <c r="C7788" i="87" s="1"/>
  <c r="G387" i="30"/>
  <c r="B7525" i="87" s="1"/>
  <c r="C7525" i="87" s="1"/>
  <c r="K387" i="30"/>
  <c r="B7751" i="87" s="1"/>
  <c r="C7751" i="87" s="1"/>
  <c r="L397" i="30"/>
  <c r="B7015" i="87" s="1"/>
  <c r="C7015" i="87" s="1"/>
  <c r="L405" i="30"/>
  <c r="B7827" i="87" s="1"/>
  <c r="C7827" i="87" s="1"/>
  <c r="L413" i="30"/>
  <c r="B7835" i="87" s="1"/>
  <c r="C7835" i="87" s="1"/>
  <c r="L365" i="30"/>
  <c r="B6572" i="87" s="1"/>
  <c r="L369" i="30"/>
  <c r="B7798" i="87" s="1"/>
  <c r="C7798" i="87" s="1"/>
  <c r="I453" i="30"/>
  <c r="L443" i="30"/>
  <c r="L448" i="30"/>
  <c r="L451" i="30" s="1"/>
  <c r="K19" i="97"/>
  <c r="J19" i="97"/>
  <c r="I19" i="97"/>
  <c r="H19" i="97"/>
  <c r="G19" i="97"/>
  <c r="F19" i="97"/>
  <c r="E19" i="97"/>
  <c r="D19" i="97"/>
  <c r="C19" i="97"/>
  <c r="K10" i="97"/>
  <c r="J10" i="97"/>
  <c r="I10" i="97"/>
  <c r="H10" i="97"/>
  <c r="G10" i="97"/>
  <c r="F10" i="97"/>
  <c r="E10" i="97"/>
  <c r="D10" i="97"/>
  <c r="C10" i="97"/>
  <c r="F428" i="30" l="1"/>
  <c r="J103" i="73"/>
  <c r="B7187" i="87" s="1"/>
  <c r="C7187" i="87" s="1"/>
  <c r="K24" i="99"/>
  <c r="C26" i="97"/>
  <c r="B7219" i="87" s="1"/>
  <c r="C7219" i="87" s="1"/>
  <c r="E172" i="84"/>
  <c r="C172" i="84"/>
  <c r="C171" i="84"/>
  <c r="E171" i="84"/>
  <c r="E170" i="84"/>
  <c r="C170" i="84"/>
  <c r="E162" i="84"/>
  <c r="C162" i="84"/>
  <c r="B7633" i="87"/>
  <c r="C7633" i="87" s="1"/>
  <c r="I428" i="30"/>
  <c r="B6614" i="87" s="1"/>
  <c r="B7781" i="87"/>
  <c r="C7781" i="87" s="1"/>
  <c r="K428" i="30"/>
  <c r="C89" i="73"/>
  <c r="B7043" i="87" s="1"/>
  <c r="C7043" i="87" s="1"/>
  <c r="B7042" i="87"/>
  <c r="C7042" i="87" s="1"/>
  <c r="E31" i="97"/>
  <c r="B7241" i="87" s="1"/>
  <c r="C7241" i="87" s="1"/>
  <c r="B48" i="87"/>
  <c r="G31" i="97"/>
  <c r="B7259" i="87" s="1"/>
  <c r="C7259" i="87" s="1"/>
  <c r="B79" i="87"/>
  <c r="I31" i="97"/>
  <c r="B7277" i="87" s="1"/>
  <c r="C7277" i="87" s="1"/>
  <c r="B104" i="87"/>
  <c r="K31" i="97"/>
  <c r="B7295" i="87" s="1"/>
  <c r="C7295" i="87" s="1"/>
  <c r="B126" i="87"/>
  <c r="D35" i="97"/>
  <c r="B7236" i="87" s="1"/>
  <c r="C7236" i="87" s="1"/>
  <c r="B44" i="87"/>
  <c r="F35" i="97"/>
  <c r="B7254" i="87" s="1"/>
  <c r="C7254" i="87" s="1"/>
  <c r="B75" i="87"/>
  <c r="H35" i="97"/>
  <c r="B7272" i="87" s="1"/>
  <c r="C7272" i="87" s="1"/>
  <c r="B99" i="87"/>
  <c r="J35" i="97"/>
  <c r="B7290" i="87" s="1"/>
  <c r="C7290" i="87" s="1"/>
  <c r="B6060" i="87"/>
  <c r="D31" i="97"/>
  <c r="B7232" i="87" s="1"/>
  <c r="C7232" i="87" s="1"/>
  <c r="B32" i="87"/>
  <c r="F31" i="97"/>
  <c r="B7250" i="87" s="1"/>
  <c r="C7250" i="87" s="1"/>
  <c r="B63" i="87"/>
  <c r="H31" i="97"/>
  <c r="B7268" i="87" s="1"/>
  <c r="C7268" i="87" s="1"/>
  <c r="B93" i="87"/>
  <c r="J31" i="97"/>
  <c r="B7286" i="87" s="1"/>
  <c r="C7286" i="87" s="1"/>
  <c r="B6054" i="87"/>
  <c r="C35" i="97"/>
  <c r="B7227" i="87" s="1"/>
  <c r="C7227" i="87" s="1"/>
  <c r="B27" i="87"/>
  <c r="E35" i="97"/>
  <c r="B7245" i="87" s="1"/>
  <c r="C7245" i="87" s="1"/>
  <c r="B58" i="87"/>
  <c r="G35" i="97"/>
  <c r="B7263" i="87" s="1"/>
  <c r="C7263" i="87" s="1"/>
  <c r="B89" i="87"/>
  <c r="I35" i="97"/>
  <c r="B7281" i="87" s="1"/>
  <c r="C7281" i="87" s="1"/>
  <c r="B110" i="87"/>
  <c r="K35" i="97"/>
  <c r="B7299" i="87" s="1"/>
  <c r="C7299" i="87" s="1"/>
  <c r="B135" i="87"/>
  <c r="B15" i="87"/>
  <c r="C31" i="97"/>
  <c r="B7223" i="87" s="1"/>
  <c r="C7223" i="87" s="1"/>
  <c r="J13" i="73"/>
  <c r="H428" i="30"/>
  <c r="D428" i="30"/>
  <c r="G428" i="30"/>
  <c r="J428" i="30"/>
  <c r="E428" i="30"/>
  <c r="L387" i="30"/>
  <c r="L453" i="30"/>
  <c r="L415" i="30"/>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K108" i="73"/>
  <c r="B7209" i="87" s="1"/>
  <c r="C7209" i="87" s="1"/>
  <c r="J108" i="73"/>
  <c r="B7190" i="87" s="1"/>
  <c r="C7190" i="87" s="1"/>
  <c r="H108" i="73"/>
  <c r="B7160" i="87" s="1"/>
  <c r="C7160" i="87" s="1"/>
  <c r="G108" i="73"/>
  <c r="B7142" i="87" s="1"/>
  <c r="C7142" i="87" s="1"/>
  <c r="F108" i="73"/>
  <c r="B7120" i="87" s="1"/>
  <c r="C7120" i="87" s="1"/>
  <c r="E108" i="73"/>
  <c r="B7099" i="87" s="1"/>
  <c r="C7099" i="87" s="1"/>
  <c r="D108" i="73"/>
  <c r="B7081" i="87" s="1"/>
  <c r="C7081" i="87" s="1"/>
  <c r="C108" i="73"/>
  <c r="B7060" i="87" s="1"/>
  <c r="C7060" i="87" s="1"/>
  <c r="C27" i="97" l="1"/>
  <c r="B7220" i="87" s="1"/>
  <c r="C7220" i="87" s="1"/>
  <c r="J129" i="73"/>
  <c r="J14" i="73"/>
  <c r="B7813" i="87"/>
  <c r="C7813" i="87" s="1"/>
  <c r="J131" i="73"/>
  <c r="B7044" i="87" s="1"/>
  <c r="C7044" i="87" s="1"/>
  <c r="B7841" i="87"/>
  <c r="C7841" i="87" s="1"/>
  <c r="L428" i="30"/>
  <c r="B6615" i="87" s="1"/>
  <c r="J125" i="73"/>
  <c r="B6578" i="87"/>
  <c r="J130" i="73"/>
  <c r="B6581" i="87"/>
  <c r="J124" i="73"/>
  <c r="B6577" i="87"/>
  <c r="J126" i="73"/>
  <c r="B6613" i="87"/>
  <c r="J127" i="73"/>
  <c r="B6579" i="87"/>
  <c r="J128" i="73"/>
  <c r="B6580" i="87"/>
  <c r="J101" i="73"/>
  <c r="B7185" i="87" s="1"/>
  <c r="C7185" i="87" s="1"/>
  <c r="B7037" i="87"/>
  <c r="C7037" i="87" s="1"/>
  <c r="J16" i="73"/>
  <c r="J19" i="73" l="1"/>
  <c r="B159" i="87"/>
  <c r="C159" i="87" s="1"/>
  <c r="B7036" i="87" l="1"/>
  <c r="C7036" i="87" s="1"/>
  <c r="B7035" i="87"/>
  <c r="C7035" i="87" s="1"/>
  <c r="B7034" i="87"/>
  <c r="C7034" i="87" s="1"/>
  <c r="B7033" i="87"/>
  <c r="C7033" i="87" s="1"/>
  <c r="B7032" i="87"/>
  <c r="C7032" i="87" s="1"/>
  <c r="B7031" i="87"/>
  <c r="C7031" i="87" s="1"/>
  <c r="B7030" i="87"/>
  <c r="C7030" i="87" s="1"/>
  <c r="B7029" i="87"/>
  <c r="C7029" i="87" s="1"/>
  <c r="B7028" i="87"/>
  <c r="C7028" i="87" s="1"/>
  <c r="B7027" i="87"/>
  <c r="C7027" i="87" s="1"/>
  <c r="B7026" i="87"/>
  <c r="C7026" i="87" s="1"/>
  <c r="B7025" i="87"/>
  <c r="C7025" i="87" s="1"/>
  <c r="B7024" i="87"/>
  <c r="C7024" i="87" s="1"/>
  <c r="B7023" i="87"/>
  <c r="C7023" i="87" s="1"/>
  <c r="B7022" i="87"/>
  <c r="C7022" i="87" s="1"/>
  <c r="B7021" i="87"/>
  <c r="C7021" i="87" s="1"/>
  <c r="A5" i="89" l="1"/>
  <c r="A3" i="89" l="1"/>
  <c r="I164" i="30" l="1"/>
  <c r="L303" i="30" l="1"/>
  <c r="B7009" i="87" s="1"/>
  <c r="C7009" i="87" s="1"/>
  <c r="L281" i="30"/>
  <c r="L280" i="30"/>
  <c r="L279" i="30"/>
  <c r="B7006" i="87" s="1"/>
  <c r="C7006" i="87" s="1"/>
  <c r="L163" i="30"/>
  <c r="G144" i="84" s="1"/>
  <c r="L162" i="30"/>
  <c r="B6998" i="87" s="1"/>
  <c r="C6998" i="87" s="1"/>
  <c r="L161" i="30"/>
  <c r="B6996" i="87" s="1"/>
  <c r="C6996" i="87" s="1"/>
  <c r="B7003" i="87"/>
  <c r="C7003" i="87" s="1"/>
  <c r="I141" i="30"/>
  <c r="F141" i="30"/>
  <c r="F143" i="30" s="1"/>
  <c r="B7019" i="87"/>
  <c r="C7019" i="87" s="1"/>
  <c r="B7018" i="87"/>
  <c r="C7018" i="87" s="1"/>
  <c r="B7016" i="87"/>
  <c r="C7016" i="87" s="1"/>
  <c r="B7008" i="87"/>
  <c r="C7008" i="87" s="1"/>
  <c r="B7007" i="87"/>
  <c r="C7007" i="87" s="1"/>
  <c r="L137" i="30"/>
  <c r="B6994" i="87" s="1"/>
  <c r="C6994" i="87" s="1"/>
  <c r="B7005" i="87"/>
  <c r="C7005" i="87" s="1"/>
  <c r="B7001" i="87"/>
  <c r="C7001" i="87" s="1"/>
  <c r="B6997" i="87"/>
  <c r="C6997" i="87" s="1"/>
  <c r="B6995" i="87"/>
  <c r="C6995" i="87" s="1"/>
  <c r="B6993" i="87"/>
  <c r="C6993" i="87" s="1"/>
  <c r="B6992" i="87"/>
  <c r="C6992" i="87" s="1"/>
  <c r="B144" i="84" l="1"/>
  <c r="C144" i="84" s="1"/>
  <c r="A144" i="84"/>
  <c r="E144" i="84"/>
  <c r="B7002" i="87"/>
  <c r="C7002" i="87" s="1"/>
  <c r="L282" i="30"/>
  <c r="L164" i="30"/>
  <c r="E16" i="73" s="1"/>
  <c r="E104" i="73" s="1"/>
  <c r="B7095" i="87" s="1"/>
  <c r="C7095" i="87" s="1"/>
  <c r="B7017" i="87"/>
  <c r="C7017" i="87" s="1"/>
  <c r="E282" i="30"/>
  <c r="B7004" i="87" l="1"/>
  <c r="C7004" i="87" s="1"/>
  <c r="B7020" i="87" l="1"/>
  <c r="C7020" i="87" s="1"/>
  <c r="J104" i="73"/>
  <c r="B7188" i="87" s="1"/>
  <c r="C7188" i="87" s="1"/>
  <c r="B6988" i="87"/>
  <c r="C6988" i="87" s="1"/>
  <c r="B6987" i="87"/>
  <c r="C6987" i="87" s="1"/>
  <c r="B6985" i="87"/>
  <c r="C6985" i="87" s="1"/>
  <c r="B6984" i="87"/>
  <c r="C6984" i="87" s="1"/>
  <c r="B6982" i="87"/>
  <c r="C6982" i="87" s="1"/>
  <c r="I51" i="73"/>
  <c r="B2050" i="87" s="1"/>
  <c r="C2050" i="87" s="1"/>
  <c r="B2" i="87"/>
  <c r="B1" i="87"/>
  <c r="B6961" i="87"/>
  <c r="C6961" i="87" s="1"/>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6" i="87"/>
  <c r="C6426"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C6911" i="87" s="1"/>
  <c r="B6912" i="87"/>
  <c r="C6912" i="87" s="1"/>
  <c r="B6915" i="87"/>
  <c r="C6915" i="87" s="1"/>
  <c r="B6917" i="87"/>
  <c r="C6917" i="87" s="1"/>
  <c r="B6918" i="87"/>
  <c r="C6918" i="87" s="1"/>
  <c r="B6919" i="87"/>
  <c r="C6919" i="87" s="1"/>
  <c r="B6920" i="87"/>
  <c r="C6920" i="87" s="1"/>
  <c r="B6921" i="87"/>
  <c r="C6921" i="87" s="1"/>
  <c r="B6922" i="87"/>
  <c r="C6922" i="87" s="1"/>
  <c r="B6923" i="87"/>
  <c r="C6923" i="87" s="1"/>
  <c r="B6924" i="87"/>
  <c r="C6924" i="87" s="1"/>
  <c r="B6925" i="87"/>
  <c r="C6925" i="87" s="1"/>
  <c r="B6926" i="87"/>
  <c r="C6926" i="87" s="1"/>
  <c r="B6927" i="87"/>
  <c r="C6927" i="87" s="1"/>
  <c r="B6928" i="87"/>
  <c r="C6928" i="87" s="1"/>
  <c r="B6929" i="87"/>
  <c r="C6929" i="87" s="1"/>
  <c r="B6930" i="87"/>
  <c r="C6930" i="87" s="1"/>
  <c r="B6931" i="87"/>
  <c r="C6931" i="87" s="1"/>
  <c r="B6932" i="87"/>
  <c r="C6932" i="87" s="1"/>
  <c r="B6933" i="87"/>
  <c r="C6933" i="87" s="1"/>
  <c r="B6934" i="87"/>
  <c r="C6934" i="87" s="1"/>
  <c r="B6935" i="87"/>
  <c r="C6935" i="87" s="1"/>
  <c r="B6936" i="87"/>
  <c r="C6936" i="87" s="1"/>
  <c r="B6937" i="87"/>
  <c r="C6937" i="87" s="1"/>
  <c r="B6938" i="87"/>
  <c r="C6938" i="87" s="1"/>
  <c r="B6939" i="87"/>
  <c r="C6939" i="87" s="1"/>
  <c r="B6940" i="87"/>
  <c r="C6940" i="87" s="1"/>
  <c r="B6941" i="87"/>
  <c r="C6941" i="87" s="1"/>
  <c r="B6942" i="87"/>
  <c r="C6942" i="87" s="1"/>
  <c r="B6943" i="87"/>
  <c r="C6943" i="87" s="1"/>
  <c r="B6944" i="87"/>
  <c r="C6944" i="87" s="1"/>
  <c r="B6945" i="87"/>
  <c r="C6945" i="87" s="1"/>
  <c r="B6946" i="87"/>
  <c r="C6946" i="87" s="1"/>
  <c r="B6947" i="87"/>
  <c r="C6947" i="87" s="1"/>
  <c r="B6948" i="87"/>
  <c r="C6948" i="87" s="1"/>
  <c r="B6949" i="87"/>
  <c r="C6949" i="87" s="1"/>
  <c r="B6950" i="87"/>
  <c r="C6950" i="87" s="1"/>
  <c r="B6951" i="87"/>
  <c r="C6951" i="87" s="1"/>
  <c r="B6952" i="87"/>
  <c r="C6952" i="87" s="1"/>
  <c r="B6953" i="87"/>
  <c r="C6953" i="87" s="1"/>
  <c r="B6954" i="87"/>
  <c r="C6954" i="87" s="1"/>
  <c r="B6955" i="87"/>
  <c r="C6955" i="87" s="1"/>
  <c r="B6956" i="87"/>
  <c r="C6956" i="87" s="1"/>
  <c r="B6957" i="87"/>
  <c r="C6957" i="87" s="1"/>
  <c r="B6958" i="87"/>
  <c r="C6958" i="87" s="1"/>
  <c r="B6959" i="87"/>
  <c r="C6959" i="87" s="1"/>
  <c r="B6960" i="87"/>
  <c r="C6960" i="87" s="1"/>
  <c r="B5" i="95"/>
  <c r="C7" i="89"/>
  <c r="D7" i="89"/>
  <c r="E7" i="89"/>
  <c r="F7" i="89"/>
  <c r="L9" i="89"/>
  <c r="X9" i="89" s="1"/>
  <c r="Q9" i="89"/>
  <c r="Y9" i="89" s="1"/>
  <c r="V9" i="89"/>
  <c r="Z9" i="89" s="1"/>
  <c r="L10" i="89"/>
  <c r="X10" i="89" s="1"/>
  <c r="Q10" i="89"/>
  <c r="Y10" i="89" s="1"/>
  <c r="V10" i="89"/>
  <c r="Z10" i="89" s="1"/>
  <c r="L11" i="89"/>
  <c r="X11" i="89" s="1"/>
  <c r="Q11" i="89"/>
  <c r="Y11" i="89" s="1"/>
  <c r="V11" i="89"/>
  <c r="Z11" i="89"/>
  <c r="L12" i="89"/>
  <c r="X12" i="89" s="1"/>
  <c r="Q12" i="89"/>
  <c r="Y12" i="89" s="1"/>
  <c r="V12" i="89"/>
  <c r="Z12" i="89"/>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L5" i="30"/>
  <c r="B1037" i="87" s="1"/>
  <c r="C1037" i="87" s="1"/>
  <c r="L7" i="30"/>
  <c r="B6198" i="87" s="1"/>
  <c r="C6198" i="87" s="1"/>
  <c r="L8" i="30"/>
  <c r="B3324" i="87" s="1"/>
  <c r="C3324" i="87" s="1"/>
  <c r="L9" i="30"/>
  <c r="B6209" i="87" s="1"/>
  <c r="C6209" i="87" s="1"/>
  <c r="L10" i="30"/>
  <c r="B3006" i="87" s="1"/>
  <c r="C3006" i="87" s="1"/>
  <c r="L11" i="30"/>
  <c r="B6220" i="87" s="1"/>
  <c r="C6220" i="87" s="1"/>
  <c r="L12" i="30"/>
  <c r="B1048" i="87" s="1"/>
  <c r="C1048" i="87" s="1"/>
  <c r="L13" i="30"/>
  <c r="B1049" i="87" s="1"/>
  <c r="C1049" i="87" s="1"/>
  <c r="L14" i="30"/>
  <c r="B1050" i="87" s="1"/>
  <c r="C1050" i="87" s="1"/>
  <c r="L15" i="30"/>
  <c r="B1051" i="87" s="1"/>
  <c r="C1051" i="87" s="1"/>
  <c r="L16" i="30"/>
  <c r="B1038" i="87" s="1"/>
  <c r="C1038" i="87" s="1"/>
  <c r="L17" i="30"/>
  <c r="B6239" i="87" s="1"/>
  <c r="C6239" i="87" s="1"/>
  <c r="L18" i="30"/>
  <c r="B1044" i="87" s="1"/>
  <c r="C1044" i="87" s="1"/>
  <c r="L19" i="30"/>
  <c r="B3325" i="87" s="1"/>
  <c r="C3325" i="87" s="1"/>
  <c r="L20" i="30"/>
  <c r="B6244" i="87" s="1"/>
  <c r="C6244" i="87" s="1"/>
  <c r="L21" i="30"/>
  <c r="B6246" i="87" s="1"/>
  <c r="C6246" i="87" s="1"/>
  <c r="L22" i="30"/>
  <c r="B6248" i="87" s="1"/>
  <c r="C6248" i="87" s="1"/>
  <c r="L23" i="30"/>
  <c r="B6250" i="87" s="1"/>
  <c r="C6250" i="87" s="1"/>
  <c r="L24" i="30"/>
  <c r="B6252" i="87" s="1"/>
  <c r="C6252" i="87" s="1"/>
  <c r="L25" i="30"/>
  <c r="B6254" i="87" s="1"/>
  <c r="C6254" i="87" s="1"/>
  <c r="L26" i="30"/>
  <c r="B6256" i="87" s="1"/>
  <c r="C6256" i="87" s="1"/>
  <c r="L27" i="30"/>
  <c r="B6258" i="87" s="1"/>
  <c r="C6258" i="87" s="1"/>
  <c r="L28" i="30"/>
  <c r="B6260" i="87" s="1"/>
  <c r="C6260" i="87" s="1"/>
  <c r="L29" i="30"/>
  <c r="B6262" i="87" s="1"/>
  <c r="C6262" i="87" s="1"/>
  <c r="L30" i="30"/>
  <c r="B6264" i="87" s="1"/>
  <c r="C6264" i="87" s="1"/>
  <c r="L31" i="30"/>
  <c r="B6266" i="87" s="1"/>
  <c r="C6266" i="87" s="1"/>
  <c r="L32" i="30"/>
  <c r="B6268" i="87" s="1"/>
  <c r="C6268" i="87" s="1"/>
  <c r="B664" i="87"/>
  <c r="C664" i="87" s="1"/>
  <c r="B780" i="87"/>
  <c r="C780" i="87" s="1"/>
  <c r="B838" i="87"/>
  <c r="C838" i="87" s="1"/>
  <c r="B896" i="87"/>
  <c r="C896" i="87" s="1"/>
  <c r="B954" i="87"/>
  <c r="C954" i="87" s="1"/>
  <c r="B6269" i="87"/>
  <c r="C6269" i="87" s="1"/>
  <c r="B6270" i="87"/>
  <c r="C6270" i="87" s="1"/>
  <c r="L38" i="30"/>
  <c r="B1053" i="87" s="1"/>
  <c r="C1053" i="87" s="1"/>
  <c r="L39" i="30"/>
  <c r="L40" i="30"/>
  <c r="B1055" i="87" s="1"/>
  <c r="C1055" i="87" s="1"/>
  <c r="L41" i="30"/>
  <c r="B1056" i="87" s="1"/>
  <c r="C1056" i="87" s="1"/>
  <c r="L42" i="30"/>
  <c r="B1057" i="87" s="1"/>
  <c r="C1057" i="87" s="1"/>
  <c r="L43" i="30"/>
  <c r="G133" i="84" s="1"/>
  <c r="D44" i="30"/>
  <c r="E44" i="30"/>
  <c r="F44" i="30"/>
  <c r="B787" i="87" s="1"/>
  <c r="C787" i="87" s="1"/>
  <c r="G44" i="30"/>
  <c r="B845" i="87" s="1"/>
  <c r="C845" i="87" s="1"/>
  <c r="H44" i="30"/>
  <c r="B903" i="87" s="1"/>
  <c r="C903" i="87" s="1"/>
  <c r="I44" i="30"/>
  <c r="B961" i="87" s="1"/>
  <c r="C961" i="87" s="1"/>
  <c r="J44" i="30"/>
  <c r="B6283" i="87" s="1"/>
  <c r="C6283" i="87" s="1"/>
  <c r="K44" i="30"/>
  <c r="B6284" i="87" s="1"/>
  <c r="C6284" i="87" s="1"/>
  <c r="L46" i="30"/>
  <c r="B1060" i="87" s="1"/>
  <c r="C1060" i="87" s="1"/>
  <c r="L47" i="30"/>
  <c r="B1061" i="87" s="1"/>
  <c r="C1061" i="87" s="1"/>
  <c r="L48" i="30"/>
  <c r="B1062" i="87" s="1"/>
  <c r="C1062" i="87" s="1"/>
  <c r="D49" i="30"/>
  <c r="B675" i="87" s="1"/>
  <c r="C675" i="87" s="1"/>
  <c r="E49" i="30"/>
  <c r="B733" i="87" s="1"/>
  <c r="C733" i="87" s="1"/>
  <c r="F49" i="30"/>
  <c r="B791" i="87" s="1"/>
  <c r="C791" i="87" s="1"/>
  <c r="G49" i="30"/>
  <c r="B849" i="87" s="1"/>
  <c r="C849" i="87" s="1"/>
  <c r="H49" i="30"/>
  <c r="I49" i="30"/>
  <c r="B965" i="87" s="1"/>
  <c r="C965" i="87" s="1"/>
  <c r="J49" i="30"/>
  <c r="B6291" i="87" s="1"/>
  <c r="C6291" i="87" s="1"/>
  <c r="K49" i="30"/>
  <c r="B6292" i="87" s="1"/>
  <c r="C6292" i="87" s="1"/>
  <c r="L51" i="30"/>
  <c r="B1064" i="87" s="1"/>
  <c r="C1064" i="87" s="1"/>
  <c r="L52" i="30"/>
  <c r="L53" i="30"/>
  <c r="L54" i="30"/>
  <c r="B6634" i="87" s="1"/>
  <c r="C6634" i="87" s="1"/>
  <c r="D55" i="30"/>
  <c r="B678" i="87" s="1"/>
  <c r="C678" i="87" s="1"/>
  <c r="E55" i="30"/>
  <c r="B736" i="87" s="1"/>
  <c r="C736" i="87" s="1"/>
  <c r="F55" i="30"/>
  <c r="B794" i="87" s="1"/>
  <c r="C794" i="87" s="1"/>
  <c r="G55" i="30"/>
  <c r="B852" i="87" s="1"/>
  <c r="C852" i="87" s="1"/>
  <c r="H55" i="30"/>
  <c r="B910" i="87" s="1"/>
  <c r="C910" i="87" s="1"/>
  <c r="I55" i="30"/>
  <c r="B968" i="87" s="1"/>
  <c r="C968" i="87" s="1"/>
  <c r="J55" i="30"/>
  <c r="B6299" i="87" s="1"/>
  <c r="C6299" i="87" s="1"/>
  <c r="K55" i="30"/>
  <c r="B6300" i="87" s="1"/>
  <c r="C6300" i="87" s="1"/>
  <c r="L57" i="30"/>
  <c r="B1067" i="87" s="1"/>
  <c r="C1067" i="87" s="1"/>
  <c r="L58" i="30"/>
  <c r="G134" i="84" s="1"/>
  <c r="D59" i="30"/>
  <c r="B681" i="87" s="1"/>
  <c r="C681" i="87" s="1"/>
  <c r="E59" i="30"/>
  <c r="B739" i="87" s="1"/>
  <c r="C739" i="87" s="1"/>
  <c r="F59" i="30"/>
  <c r="B797" i="87" s="1"/>
  <c r="C797" i="87" s="1"/>
  <c r="G59" i="30"/>
  <c r="B855" i="87" s="1"/>
  <c r="C855" i="87" s="1"/>
  <c r="H59" i="30"/>
  <c r="B913" i="87" s="1"/>
  <c r="C913" i="87" s="1"/>
  <c r="I59" i="30"/>
  <c r="B971" i="87" s="1"/>
  <c r="C971" i="87" s="1"/>
  <c r="J59" i="30"/>
  <c r="B6305" i="87" s="1"/>
  <c r="C6305" i="87" s="1"/>
  <c r="K59" i="30"/>
  <c r="B6306" i="87" s="1"/>
  <c r="C6306" i="87" s="1"/>
  <c r="L61" i="30"/>
  <c r="L62" i="30"/>
  <c r="B1071" i="87" s="1"/>
  <c r="C1071" i="87" s="1"/>
  <c r="L63" i="30"/>
  <c r="B1072" i="87" s="1"/>
  <c r="C1072" i="87" s="1"/>
  <c r="L64" i="30"/>
  <c r="B1073" i="87" s="1"/>
  <c r="C1073" i="87" s="1"/>
  <c r="L65" i="30"/>
  <c r="B1074" i="87" s="1"/>
  <c r="C1074" i="87" s="1"/>
  <c r="L66" i="30"/>
  <c r="D67" i="30"/>
  <c r="B689" i="87" s="1"/>
  <c r="C689" i="87" s="1"/>
  <c r="E67" i="30"/>
  <c r="B747" i="87" s="1"/>
  <c r="C747" i="87" s="1"/>
  <c r="F67" i="30"/>
  <c r="B805" i="87" s="1"/>
  <c r="C805" i="87" s="1"/>
  <c r="G67" i="30"/>
  <c r="B863" i="87" s="1"/>
  <c r="C863" i="87" s="1"/>
  <c r="H67" i="30"/>
  <c r="B921" i="87" s="1"/>
  <c r="C921" i="87" s="1"/>
  <c r="I67" i="30"/>
  <c r="B979" i="87" s="1"/>
  <c r="C979" i="87" s="1"/>
  <c r="J67" i="30"/>
  <c r="B6319" i="87" s="1"/>
  <c r="C6319" i="87" s="1"/>
  <c r="K67" i="30"/>
  <c r="B6320" i="87" s="1"/>
  <c r="C6320" i="87" s="1"/>
  <c r="L69" i="30"/>
  <c r="L70" i="30"/>
  <c r="B1079" i="87" s="1"/>
  <c r="C1079" i="87" s="1"/>
  <c r="L71" i="30"/>
  <c r="B1080" i="87" s="1"/>
  <c r="C1080" i="87" s="1"/>
  <c r="L72" i="30"/>
  <c r="B1081" i="87" s="1"/>
  <c r="C1081" i="87" s="1"/>
  <c r="L73" i="30"/>
  <c r="B1083" i="87" s="1"/>
  <c r="C1083" i="87" s="1"/>
  <c r="D74" i="30"/>
  <c r="B697" i="87" s="1"/>
  <c r="C697" i="87" s="1"/>
  <c r="E74" i="30"/>
  <c r="B755" i="87" s="1"/>
  <c r="C755" i="87" s="1"/>
  <c r="F74" i="30"/>
  <c r="B813" i="87" s="1"/>
  <c r="C813" i="87" s="1"/>
  <c r="G74" i="30"/>
  <c r="B871" i="87" s="1"/>
  <c r="C871" i="87" s="1"/>
  <c r="H74" i="30"/>
  <c r="B929" i="87" s="1"/>
  <c r="C929" i="87" s="1"/>
  <c r="I74" i="30"/>
  <c r="B987" i="87" s="1"/>
  <c r="C987" i="87" s="1"/>
  <c r="J74" i="30"/>
  <c r="B6331" i="87" s="1"/>
  <c r="C6331" i="87" s="1"/>
  <c r="K74" i="30"/>
  <c r="B6332" i="87" s="1"/>
  <c r="C6332" i="87" s="1"/>
  <c r="L75" i="30"/>
  <c r="G135" i="84" s="1"/>
  <c r="L77" i="30"/>
  <c r="L80" i="30"/>
  <c r="B2917" i="87" s="1"/>
  <c r="C2917" i="87" s="1"/>
  <c r="L81" i="30"/>
  <c r="B2918" i="87" s="1"/>
  <c r="C2918" i="87" s="1"/>
  <c r="L82" i="30"/>
  <c r="B2919" i="87" s="1"/>
  <c r="C2919" i="87" s="1"/>
  <c r="L83" i="30"/>
  <c r="B2920" i="87" s="1"/>
  <c r="C2920" i="87" s="1"/>
  <c r="L84" i="30"/>
  <c r="B2921" i="87" s="1"/>
  <c r="C2921" i="87" s="1"/>
  <c r="L85" i="30"/>
  <c r="G136" i="84" s="1"/>
  <c r="F86" i="30"/>
  <c r="B2733" i="87" s="1"/>
  <c r="C2733" i="87" s="1"/>
  <c r="I86" i="30"/>
  <c r="B2025" i="87" s="1"/>
  <c r="C2025" i="87" s="1"/>
  <c r="L87" i="30"/>
  <c r="B6340" i="87" s="1"/>
  <c r="C6340" i="87" s="1"/>
  <c r="L88" i="30"/>
  <c r="L89" i="30"/>
  <c r="B6344" i="87" s="1"/>
  <c r="C6344" i="87" s="1"/>
  <c r="L90" i="30"/>
  <c r="B6346" i="87" s="1"/>
  <c r="C6346" i="87" s="1"/>
  <c r="L91" i="30"/>
  <c r="B6348" i="87" s="1"/>
  <c r="C6348" i="87" s="1"/>
  <c r="L92" i="30"/>
  <c r="B6350" i="87" s="1"/>
  <c r="C6350" i="87" s="1"/>
  <c r="L93" i="30"/>
  <c r="G137" i="84" s="1"/>
  <c r="I94" i="30"/>
  <c r="B6436" i="87" s="1"/>
  <c r="C6436" i="87" s="1"/>
  <c r="L95" i="30"/>
  <c r="B6354" i="87" s="1"/>
  <c r="C6354" i="87" s="1"/>
  <c r="L96" i="30"/>
  <c r="B6356" i="87" s="1"/>
  <c r="C6356" i="87" s="1"/>
  <c r="L97" i="30"/>
  <c r="B6358" i="87" s="1"/>
  <c r="C6358" i="87" s="1"/>
  <c r="L98" i="30"/>
  <c r="B6360" i="87" s="1"/>
  <c r="C6360" i="87" s="1"/>
  <c r="L99" i="30"/>
  <c r="B6362" i="87" s="1"/>
  <c r="C6362" i="87" s="1"/>
  <c r="L100" i="30"/>
  <c r="B6364" i="87" s="1"/>
  <c r="C6364" i="87" s="1"/>
  <c r="L101" i="30"/>
  <c r="G138" i="84" s="1"/>
  <c r="F102" i="30"/>
  <c r="B6437" i="87" s="1"/>
  <c r="C6437" i="87" s="1"/>
  <c r="I102" i="30"/>
  <c r="B6438" i="87" s="1"/>
  <c r="C6438" i="87" s="1"/>
  <c r="L103" i="30"/>
  <c r="B2031" i="87" s="1"/>
  <c r="C2031" i="87" s="1"/>
  <c r="L107" i="30"/>
  <c r="B1090" i="87" s="1"/>
  <c r="C1090" i="87" s="1"/>
  <c r="L108" i="30"/>
  <c r="B1091" i="87" s="1"/>
  <c r="C1091" i="87" s="1"/>
  <c r="L109" i="30"/>
  <c r="B2739" i="87" s="1"/>
  <c r="C2739" i="87" s="1"/>
  <c r="L110" i="30"/>
  <c r="B2740" i="87" s="1"/>
  <c r="C2740" i="87" s="1"/>
  <c r="L111" i="30"/>
  <c r="G139" i="84" s="1"/>
  <c r="I112" i="30"/>
  <c r="B6635" i="87" s="1"/>
  <c r="C6635" i="87" s="1"/>
  <c r="L113" i="30"/>
  <c r="B6638" i="87" s="1"/>
  <c r="C6638" i="87" s="1"/>
  <c r="L115" i="30"/>
  <c r="B146" i="87" s="1"/>
  <c r="C146" i="87" s="1"/>
  <c r="L124" i="30"/>
  <c r="G140" i="84" s="1"/>
  <c r="L126" i="30"/>
  <c r="J20" i="99" s="1"/>
  <c r="J24" i="99" s="1"/>
  <c r="L127" i="30"/>
  <c r="B1219" i="87" s="1"/>
  <c r="C1219" i="87" s="1"/>
  <c r="L128" i="30"/>
  <c r="B1220" i="87" s="1"/>
  <c r="C1220" i="87" s="1"/>
  <c r="L129" i="30"/>
  <c r="B3432" i="87" s="1"/>
  <c r="C3432" i="87" s="1"/>
  <c r="L130" i="30"/>
  <c r="B1221" i="87" s="1"/>
  <c r="C1221" i="87" s="1"/>
  <c r="D131" i="30"/>
  <c r="B1167" i="87" s="1"/>
  <c r="C1167" i="87" s="1"/>
  <c r="E131" i="30"/>
  <c r="B1175" i="87" s="1"/>
  <c r="C1175" i="87" s="1"/>
  <c r="F131" i="30"/>
  <c r="G131" i="30"/>
  <c r="B1191" i="87" s="1"/>
  <c r="C1191" i="87" s="1"/>
  <c r="H131" i="30"/>
  <c r="I131" i="30"/>
  <c r="B1208" i="87" s="1"/>
  <c r="C1208" i="87" s="1"/>
  <c r="J131" i="30"/>
  <c r="B6382" i="87" s="1"/>
  <c r="C6382" i="87" s="1"/>
  <c r="K131" i="30"/>
  <c r="B6383" i="87" s="1"/>
  <c r="C6383" i="87" s="1"/>
  <c r="L132" i="30"/>
  <c r="G141" i="84" s="1"/>
  <c r="L134" i="30"/>
  <c r="B2749" i="87" s="1"/>
  <c r="C2749" i="87" s="1"/>
  <c r="L138" i="30"/>
  <c r="L139" i="30"/>
  <c r="B2931" i="87" s="1"/>
  <c r="C2931" i="87" s="1"/>
  <c r="L140" i="30"/>
  <c r="G142" i="84" s="1"/>
  <c r="B4146" i="87"/>
  <c r="C4146" i="87" s="1"/>
  <c r="B2035" i="87"/>
  <c r="C2035" i="87" s="1"/>
  <c r="L142" i="30"/>
  <c r="B2038" i="87" s="1"/>
  <c r="C2038" i="87" s="1"/>
  <c r="L146" i="30"/>
  <c r="B1227" i="87" s="1"/>
  <c r="C1227" i="87" s="1"/>
  <c r="L147" i="30"/>
  <c r="B1228" i="87" s="1"/>
  <c r="C1228" i="87" s="1"/>
  <c r="L148" i="30"/>
  <c r="B2754" i="87" s="1"/>
  <c r="C2754" i="87" s="1"/>
  <c r="L149" i="30"/>
  <c r="B2755" i="87" s="1"/>
  <c r="C2755" i="87" s="1"/>
  <c r="L150" i="30"/>
  <c r="G143" i="84" s="1"/>
  <c r="I151" i="30"/>
  <c r="B6639" i="87" s="1"/>
  <c r="C6639" i="87" s="1"/>
  <c r="L152" i="30"/>
  <c r="B6642" i="87" s="1"/>
  <c r="C6642" i="87" s="1"/>
  <c r="L154" i="30"/>
  <c r="B2577" i="87"/>
  <c r="C2577" i="87" s="1"/>
  <c r="L167" i="30"/>
  <c r="B1268" i="87" s="1"/>
  <c r="C1268" i="87" s="1"/>
  <c r="L168" i="30"/>
  <c r="B1269" i="87" s="1"/>
  <c r="C1269" i="87" s="1"/>
  <c r="L169" i="30"/>
  <c r="B2762" i="87" s="1"/>
  <c r="C2762" i="87" s="1"/>
  <c r="L170" i="30"/>
  <c r="B2763" i="87" s="1"/>
  <c r="C2763" i="87" s="1"/>
  <c r="L171" i="30"/>
  <c r="I172" i="30"/>
  <c r="B1258" i="87" s="1"/>
  <c r="C1258" i="87" s="1"/>
  <c r="L173" i="30"/>
  <c r="B1270" i="87" s="1"/>
  <c r="C1270" i="87" s="1"/>
  <c r="L174" i="30"/>
  <c r="L175" i="30"/>
  <c r="G147" i="84" s="1"/>
  <c r="F176" i="30"/>
  <c r="F178" i="30" s="1"/>
  <c r="L177" i="30"/>
  <c r="B150" i="87" s="1"/>
  <c r="C150" i="87" s="1"/>
  <c r="L184" i="30"/>
  <c r="G148" i="84" s="1"/>
  <c r="L186" i="30"/>
  <c r="B1321" i="87" s="1"/>
  <c r="C1321" i="87" s="1"/>
  <c r="L187" i="30"/>
  <c r="G149" i="84" s="1"/>
  <c r="D188" i="30"/>
  <c r="B1283" i="87" s="1"/>
  <c r="C1283" i="87" s="1"/>
  <c r="E188" i="30"/>
  <c r="B1289" i="87" s="1"/>
  <c r="C1289" i="87" s="1"/>
  <c r="F188" i="30"/>
  <c r="B1295" i="87" s="1"/>
  <c r="C1295" i="87" s="1"/>
  <c r="G188" i="30"/>
  <c r="H188" i="30"/>
  <c r="I188" i="30"/>
  <c r="B1314" i="87" s="1"/>
  <c r="C1314" i="87" s="1"/>
  <c r="J188" i="30"/>
  <c r="B6402" i="87" s="1"/>
  <c r="C6402" i="87" s="1"/>
  <c r="K188" i="30"/>
  <c r="B6403" i="87" s="1"/>
  <c r="C6403" i="87" s="1"/>
  <c r="L189" i="30"/>
  <c r="B2780" i="87" s="1"/>
  <c r="C2780" i="87" s="1"/>
  <c r="L192" i="30"/>
  <c r="B2951" i="87" s="1"/>
  <c r="C2951" i="87" s="1"/>
  <c r="L193" i="30"/>
  <c r="B2952" i="87" s="1"/>
  <c r="C2952" i="87" s="1"/>
  <c r="L194" i="30"/>
  <c r="B2953" i="87" s="1"/>
  <c r="C2953" i="87" s="1"/>
  <c r="L195" i="30"/>
  <c r="B2954" i="87" s="1"/>
  <c r="C2954" i="87" s="1"/>
  <c r="L196" i="30"/>
  <c r="B2955" i="87" s="1"/>
  <c r="C2955" i="87" s="1"/>
  <c r="L197" i="30"/>
  <c r="G150" i="84" s="1"/>
  <c r="F198" i="30"/>
  <c r="B2767" i="87" s="1"/>
  <c r="C2767" i="87" s="1"/>
  <c r="I198" i="30"/>
  <c r="L199" i="30"/>
  <c r="G151" i="84" s="1"/>
  <c r="L203" i="30"/>
  <c r="B1327" i="87" s="1"/>
  <c r="C1327" i="87" s="1"/>
  <c r="L204" i="30"/>
  <c r="B1328" i="87" s="1"/>
  <c r="C1328" i="87" s="1"/>
  <c r="L205" i="30"/>
  <c r="B2785" i="87" s="1"/>
  <c r="C2785" i="87" s="1"/>
  <c r="L206" i="30"/>
  <c r="B2786" i="87" s="1"/>
  <c r="C2786" i="87" s="1"/>
  <c r="L207" i="30"/>
  <c r="G152" i="84" s="1"/>
  <c r="I208" i="30"/>
  <c r="L208" i="30" s="1"/>
  <c r="B4101" i="87" s="1"/>
  <c r="C4101" i="87" s="1"/>
  <c r="L209" i="30"/>
  <c r="B6644" i="87" s="1"/>
  <c r="C6644" i="87" s="1"/>
  <c r="L210" i="30"/>
  <c r="L211" i="30"/>
  <c r="G154" i="84" s="1"/>
  <c r="L213" i="30"/>
  <c r="B152" i="87" s="1"/>
  <c r="C152" i="87" s="1"/>
  <c r="L219" i="30"/>
  <c r="B3334" i="87" s="1"/>
  <c r="C3334" i="87" s="1"/>
  <c r="L220" i="30"/>
  <c r="B6409" i="87" s="1"/>
  <c r="C6409" i="87" s="1"/>
  <c r="L221" i="30"/>
  <c r="B3335" i="87" s="1"/>
  <c r="C3335" i="87" s="1"/>
  <c r="L222" i="30"/>
  <c r="B6411" i="87" s="1"/>
  <c r="C6411" i="87" s="1"/>
  <c r="L223" i="30"/>
  <c r="B3009" i="87" s="1"/>
  <c r="C3009" i="87" s="1"/>
  <c r="L224" i="30"/>
  <c r="B6413" i="87" s="1"/>
  <c r="C6413" i="87" s="1"/>
  <c r="L225" i="30"/>
  <c r="B1414" i="87" s="1"/>
  <c r="C1414" i="87" s="1"/>
  <c r="L226" i="30"/>
  <c r="B1415" i="87" s="1"/>
  <c r="C1415" i="87" s="1"/>
  <c r="L227" i="30"/>
  <c r="B1416" i="87" s="1"/>
  <c r="C1416" i="87" s="1"/>
  <c r="L228" i="30"/>
  <c r="B1417" i="87" s="1"/>
  <c r="C1417" i="87" s="1"/>
  <c r="L229" i="30"/>
  <c r="B1404" i="87" s="1"/>
  <c r="C1404" i="87" s="1"/>
  <c r="L230" i="30"/>
  <c r="B6415" i="87" s="1"/>
  <c r="C6415" i="87" s="1"/>
  <c r="L231" i="30"/>
  <c r="B1410" i="87" s="1"/>
  <c r="C1410" i="87" s="1"/>
  <c r="L232" i="30"/>
  <c r="B3336" i="87" s="1"/>
  <c r="C3336" i="87" s="1"/>
  <c r="E233" i="30"/>
  <c r="L236" i="30"/>
  <c r="L237" i="30"/>
  <c r="B1420" i="87" s="1"/>
  <c r="C1420" i="87" s="1"/>
  <c r="L238" i="30"/>
  <c r="B1421" i="87" s="1"/>
  <c r="C1421" i="87" s="1"/>
  <c r="L239" i="30"/>
  <c r="B1422" i="87" s="1"/>
  <c r="C1422" i="87" s="1"/>
  <c r="L240" i="30"/>
  <c r="B1423" i="87" s="1"/>
  <c r="C1423" i="87" s="1"/>
  <c r="L241" i="30"/>
  <c r="G155" i="84" s="1"/>
  <c r="E242" i="30"/>
  <c r="B1361" i="87" s="1"/>
  <c r="C1361" i="87" s="1"/>
  <c r="L244" i="30"/>
  <c r="B1426" i="87" s="1"/>
  <c r="C1426" i="87" s="1"/>
  <c r="L245" i="30"/>
  <c r="B1427" i="87" s="1"/>
  <c r="C1427" i="87" s="1"/>
  <c r="L246" i="30"/>
  <c r="B1428" i="87" s="1"/>
  <c r="C1428" i="87" s="1"/>
  <c r="E247" i="30"/>
  <c r="B1365" i="87" s="1"/>
  <c r="C1365" i="87" s="1"/>
  <c r="L249" i="30"/>
  <c r="L250" i="30"/>
  <c r="B1431" i="87" s="1"/>
  <c r="C1431" i="87" s="1"/>
  <c r="L251" i="30"/>
  <c r="B2670" i="87" s="1"/>
  <c r="C2670" i="87" s="1"/>
  <c r="L252" i="30"/>
  <c r="B6419" i="87" s="1"/>
  <c r="C6419" i="87" s="1"/>
  <c r="L253" i="30"/>
  <c r="B6427" i="87" s="1"/>
  <c r="C6427" i="87" s="1"/>
  <c r="L256" i="30"/>
  <c r="B1433" i="87" s="1"/>
  <c r="C1433" i="87" s="1"/>
  <c r="L257" i="30"/>
  <c r="G156" i="84" s="1"/>
  <c r="E258" i="30"/>
  <c r="B1371" i="87" s="1"/>
  <c r="C1371" i="87" s="1"/>
  <c r="L260" i="30"/>
  <c r="B1436" i="87" s="1"/>
  <c r="C1436" i="87" s="1"/>
  <c r="L261" i="30"/>
  <c r="B1437" i="87" s="1"/>
  <c r="C1437" i="87" s="1"/>
  <c r="L262" i="30"/>
  <c r="B1438" i="87" s="1"/>
  <c r="C1438" i="87" s="1"/>
  <c r="L263" i="30"/>
  <c r="B1439" i="87" s="1"/>
  <c r="C1439" i="87" s="1"/>
  <c r="L264" i="30"/>
  <c r="B1440" i="87" s="1"/>
  <c r="C1440" i="87" s="1"/>
  <c r="L265" i="30"/>
  <c r="B1441" i="87" s="1"/>
  <c r="C1441" i="87" s="1"/>
  <c r="L266" i="30"/>
  <c r="B1442" i="87" s="1"/>
  <c r="C1442" i="87" s="1"/>
  <c r="E267" i="30"/>
  <c r="B1380" i="87" s="1"/>
  <c r="C1380" i="87" s="1"/>
  <c r="L269" i="30"/>
  <c r="B1445" i="87" s="1"/>
  <c r="C1445" i="87" s="1"/>
  <c r="L270" i="30"/>
  <c r="B1446" i="87" s="1"/>
  <c r="C1446" i="87" s="1"/>
  <c r="L271" i="30"/>
  <c r="B1447" i="87" s="1"/>
  <c r="C1447" i="87" s="1"/>
  <c r="L272" i="30"/>
  <c r="B1448" i="87" s="1"/>
  <c r="C1448" i="87" s="1"/>
  <c r="L273" i="30"/>
  <c r="B1450" i="87" s="1"/>
  <c r="C1450" i="87" s="1"/>
  <c r="E274" i="30"/>
  <c r="B1388" i="87" s="1"/>
  <c r="C1388" i="87" s="1"/>
  <c r="L275" i="30"/>
  <c r="G157" i="84" s="1"/>
  <c r="L277" i="30"/>
  <c r="B4110" i="87"/>
  <c r="C4110" i="87" s="1"/>
  <c r="B3666" i="87"/>
  <c r="C3666" i="87" s="1"/>
  <c r="L285" i="30"/>
  <c r="L286" i="30"/>
  <c r="B1457" i="87" s="1"/>
  <c r="C1457" i="87" s="1"/>
  <c r="L287" i="30"/>
  <c r="B2789" i="87" s="1"/>
  <c r="C2789" i="87" s="1"/>
  <c r="L288" i="30"/>
  <c r="B2790" i="87" s="1"/>
  <c r="C2790" i="87" s="1"/>
  <c r="L289" i="30"/>
  <c r="G158" i="84" s="1"/>
  <c r="I290" i="30"/>
  <c r="I292" i="30" s="1"/>
  <c r="L291" i="30"/>
  <c r="B154" i="87" s="1"/>
  <c r="C154" i="87" s="1"/>
  <c r="L298" i="30"/>
  <c r="B1499" i="87" s="1"/>
  <c r="C1499" i="87" s="1"/>
  <c r="L299" i="30"/>
  <c r="G159" i="84" s="1"/>
  <c r="D300" i="30"/>
  <c r="D309" i="30" s="1"/>
  <c r="B1468" i="87" s="1"/>
  <c r="C1468" i="87" s="1"/>
  <c r="E300" i="30"/>
  <c r="F300" i="30"/>
  <c r="G300" i="30"/>
  <c r="G309" i="30" s="1"/>
  <c r="B1486" i="87" s="1"/>
  <c r="C1486" i="87" s="1"/>
  <c r="H300" i="30"/>
  <c r="H309" i="30" s="1"/>
  <c r="H128" i="73" s="1"/>
  <c r="I300" i="30"/>
  <c r="J300" i="30"/>
  <c r="L304" i="30"/>
  <c r="L305" i="30"/>
  <c r="B4044" i="87" s="1"/>
  <c r="C4044" i="87" s="1"/>
  <c r="L306" i="30"/>
  <c r="G160" i="84" s="1"/>
  <c r="F307" i="30"/>
  <c r="B6479" i="87" s="1"/>
  <c r="C6479" i="87" s="1"/>
  <c r="I307" i="30"/>
  <c r="B6480" i="87" s="1"/>
  <c r="C6480" i="87" s="1"/>
  <c r="L308"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C6916" i="87" s="1"/>
  <c r="B158" i="87"/>
  <c r="C158" i="87" s="1"/>
  <c r="D12" i="14"/>
  <c r="E12" i="14"/>
  <c r="B5278" i="87" s="1"/>
  <c r="C5278" i="87" s="1"/>
  <c r="F12" i="14"/>
  <c r="B5457" i="87" s="1"/>
  <c r="C5457" i="87" s="1"/>
  <c r="G12" i="14"/>
  <c r="H12" i="14"/>
  <c r="B5669" i="87" s="1"/>
  <c r="C5669" i="87" s="1"/>
  <c r="I12" i="14"/>
  <c r="B5817" i="87" s="1"/>
  <c r="C5817" i="87" s="1"/>
  <c r="J12" i="14"/>
  <c r="B5862" i="87" s="1"/>
  <c r="C5862" i="87" s="1"/>
  <c r="K12" i="14"/>
  <c r="B6067" i="87" s="1"/>
  <c r="C6067" i="87" s="1"/>
  <c r="L12" i="14"/>
  <c r="B5931" i="87" s="1"/>
  <c r="C5931" i="87" s="1"/>
  <c r="D18" i="14"/>
  <c r="B5015" i="87" s="1"/>
  <c r="C5015" i="87" s="1"/>
  <c r="E18" i="14"/>
  <c r="B5283" i="87" s="1"/>
  <c r="C5283" i="87" s="1"/>
  <c r="F18" i="14"/>
  <c r="B5462" i="87" s="1"/>
  <c r="C5462" i="87" s="1"/>
  <c r="G18" i="14"/>
  <c r="B5506" i="87" s="1"/>
  <c r="C5506" i="87" s="1"/>
  <c r="H18" i="14"/>
  <c r="B5674" i="87" s="1"/>
  <c r="C5674" i="87" s="1"/>
  <c r="I18" i="14"/>
  <c r="B5822" i="87" s="1"/>
  <c r="C5822" i="87" s="1"/>
  <c r="J18" i="14"/>
  <c r="B5867" i="87" s="1"/>
  <c r="C5867" i="87" s="1"/>
  <c r="K18" i="14"/>
  <c r="B6072" i="87" s="1"/>
  <c r="C6072" i="87" s="1"/>
  <c r="L18" i="14"/>
  <c r="B5936" i="87" s="1"/>
  <c r="C5936" i="87" s="1"/>
  <c r="D40" i="14"/>
  <c r="B5031" i="87" s="1"/>
  <c r="C5031" i="87" s="1"/>
  <c r="G63" i="14"/>
  <c r="B5523" i="87" s="1"/>
  <c r="C5523" i="87" s="1"/>
  <c r="D67" i="14"/>
  <c r="B5034" i="87" s="1"/>
  <c r="C5034" i="87" s="1"/>
  <c r="E67" i="14"/>
  <c r="B5286" i="87" s="1"/>
  <c r="C5286" i="87" s="1"/>
  <c r="F67" i="14"/>
  <c r="B5465" i="87" s="1"/>
  <c r="C5465" i="87" s="1"/>
  <c r="G67" i="14"/>
  <c r="B5526" i="87" s="1"/>
  <c r="C5526" i="87" s="1"/>
  <c r="H67" i="14"/>
  <c r="B5677" i="87" s="1"/>
  <c r="C5677" i="87" s="1"/>
  <c r="I67" i="14"/>
  <c r="B5825" i="87" s="1"/>
  <c r="C5825" i="87" s="1"/>
  <c r="J67" i="14"/>
  <c r="B5870" i="87" s="1"/>
  <c r="C5870" i="87" s="1"/>
  <c r="K67" i="14"/>
  <c r="B6085" i="87" s="1"/>
  <c r="C6085" i="87" s="1"/>
  <c r="L67" i="14"/>
  <c r="B5939" i="87" s="1"/>
  <c r="C5939" i="87" s="1"/>
  <c r="D75" i="14"/>
  <c r="B5040" i="87" s="1"/>
  <c r="C5040" i="87" s="1"/>
  <c r="B5046" i="87"/>
  <c r="C5046" i="87" s="1"/>
  <c r="E83" i="14"/>
  <c r="B5292" i="87" s="1"/>
  <c r="C5292" i="87" s="1"/>
  <c r="D95" i="14"/>
  <c r="B5056" i="87" s="1"/>
  <c r="C5056" i="87" s="1"/>
  <c r="D110" i="14"/>
  <c r="B5064" i="87" s="1"/>
  <c r="C5064" i="87" s="1"/>
  <c r="E110" i="14"/>
  <c r="B5299" i="87" s="1"/>
  <c r="C5299" i="87" s="1"/>
  <c r="F110" i="14"/>
  <c r="B5470" i="87" s="1"/>
  <c r="C5470" i="87" s="1"/>
  <c r="G110" i="14"/>
  <c r="B5531" i="87" s="1"/>
  <c r="C5531" i="87" s="1"/>
  <c r="H110" i="14"/>
  <c r="B5681" i="87" s="1"/>
  <c r="C5681" i="87" s="1"/>
  <c r="I110" i="14"/>
  <c r="B5830" i="87" s="1"/>
  <c r="C5830" i="87" s="1"/>
  <c r="J110" i="14"/>
  <c r="B5874" i="87" s="1"/>
  <c r="C5874" i="87" s="1"/>
  <c r="K110" i="14"/>
  <c r="B6439" i="87" s="1"/>
  <c r="L110" i="14"/>
  <c r="B5943" i="87" s="1"/>
  <c r="C5943" i="87" s="1"/>
  <c r="D117" i="14"/>
  <c r="E117" i="14"/>
  <c r="G117" i="14"/>
  <c r="H117" i="14"/>
  <c r="D124" i="14"/>
  <c r="B5076" i="87" s="1"/>
  <c r="C5076" i="87" s="1"/>
  <c r="E124" i="14"/>
  <c r="B5311" i="87" s="1"/>
  <c r="C5311" i="87" s="1"/>
  <c r="F124" i="14"/>
  <c r="B5478" i="87" s="1"/>
  <c r="C5478" i="87" s="1"/>
  <c r="G124" i="14"/>
  <c r="B5543" i="87" s="1"/>
  <c r="C5543" i="87" s="1"/>
  <c r="H124" i="14"/>
  <c r="B5692" i="87" s="1"/>
  <c r="C5692" i="87" s="1"/>
  <c r="I124" i="14"/>
  <c r="B5837" i="87" s="1"/>
  <c r="C5837" i="87" s="1"/>
  <c r="K124" i="14"/>
  <c r="B6130" i="87" s="1"/>
  <c r="C6130" i="87" s="1"/>
  <c r="L124" i="14"/>
  <c r="B5950" i="87" s="1"/>
  <c r="C5950" i="87" s="1"/>
  <c r="D134" i="14"/>
  <c r="E134" i="14"/>
  <c r="G134" i="14"/>
  <c r="B5558" i="87" s="1"/>
  <c r="C5558" i="87" s="1"/>
  <c r="D143" i="14"/>
  <c r="B5105" i="87" s="1"/>
  <c r="C5105" i="87" s="1"/>
  <c r="E143" i="14"/>
  <c r="B5327" i="87" s="1"/>
  <c r="C5327" i="87" s="1"/>
  <c r="H143" i="14"/>
  <c r="D147" i="14"/>
  <c r="B5109" i="87" s="1"/>
  <c r="C5109" i="87" s="1"/>
  <c r="H147" i="14"/>
  <c r="B5700" i="87" s="1"/>
  <c r="C5700" i="87" s="1"/>
  <c r="D157" i="14"/>
  <c r="B5122" i="87" s="1"/>
  <c r="C5122" i="87" s="1"/>
  <c r="E157" i="14"/>
  <c r="B5338" i="87" s="1"/>
  <c r="C5338" i="87" s="1"/>
  <c r="G157" i="14"/>
  <c r="B5562" i="87" s="1"/>
  <c r="C5562" i="87" s="1"/>
  <c r="H157" i="14"/>
  <c r="B4301" i="87" s="1"/>
  <c r="C4301" i="87" s="1"/>
  <c r="F171" i="14"/>
  <c r="B5481" i="87" s="1"/>
  <c r="C5481" i="87" s="1"/>
  <c r="I171" i="14"/>
  <c r="B5843" i="87" s="1"/>
  <c r="C5843" i="87" s="1"/>
  <c r="J171" i="14"/>
  <c r="B4307" i="87" s="1"/>
  <c r="C4307" i="87" s="1"/>
  <c r="K171" i="14"/>
  <c r="B6169" i="87" s="1"/>
  <c r="C6169" i="87" s="1"/>
  <c r="L171" i="14"/>
  <c r="B4944" i="87" s="1"/>
  <c r="C4944" i="87" s="1"/>
  <c r="D177" i="14"/>
  <c r="B5169" i="87" s="1"/>
  <c r="C5169" i="87" s="1"/>
  <c r="E177" i="14"/>
  <c r="B5367" i="87" s="1"/>
  <c r="C5367" i="87" s="1"/>
  <c r="F177" i="14"/>
  <c r="B4316" i="87" s="1"/>
  <c r="C4316" i="87" s="1"/>
  <c r="G177" i="14"/>
  <c r="B5599" i="87" s="1"/>
  <c r="C5599" i="87" s="1"/>
  <c r="H177" i="14"/>
  <c r="B5724" i="87" s="1"/>
  <c r="C5724" i="87" s="1"/>
  <c r="I177" i="14"/>
  <c r="B4894" i="87" s="1"/>
  <c r="C4894" i="87" s="1"/>
  <c r="J177" i="14"/>
  <c r="B4317" i="87" s="1"/>
  <c r="C4317" i="87" s="1"/>
  <c r="K177" i="14"/>
  <c r="B6173" i="87" s="1"/>
  <c r="C6173" i="87" s="1"/>
  <c r="L177" i="14"/>
  <c r="B4895" i="87" s="1"/>
  <c r="C4895" i="87" s="1"/>
  <c r="D183" i="14"/>
  <c r="E183" i="14"/>
  <c r="G183" i="14"/>
  <c r="H183" i="14"/>
  <c r="I183" i="14"/>
  <c r="B5852" i="87" s="1"/>
  <c r="C5852" i="87" s="1"/>
  <c r="L183" i="14"/>
  <c r="B5960" i="87" s="1"/>
  <c r="C5960" i="87" s="1"/>
  <c r="D190" i="14"/>
  <c r="B4339" i="87" s="1"/>
  <c r="C4339" i="87" s="1"/>
  <c r="E190" i="14"/>
  <c r="B4340" i="87" s="1"/>
  <c r="C4340" i="87" s="1"/>
  <c r="G190" i="14"/>
  <c r="B4341" i="87" s="1"/>
  <c r="C4341" i="87" s="1"/>
  <c r="H190" i="14"/>
  <c r="B4342" i="87" s="1"/>
  <c r="C4342" i="87" s="1"/>
  <c r="D200" i="14"/>
  <c r="H200" i="14"/>
  <c r="D206" i="14"/>
  <c r="B5204" i="87" s="1"/>
  <c r="C5204" i="87" s="1"/>
  <c r="E206" i="14"/>
  <c r="B5388" i="87" s="1"/>
  <c r="C5388" i="87" s="1"/>
  <c r="G206" i="14"/>
  <c r="B5621" i="87" s="1"/>
  <c r="C5621" i="87" s="1"/>
  <c r="H206" i="14"/>
  <c r="B5747" i="87" s="1"/>
  <c r="C5747" i="87" s="1"/>
  <c r="D211" i="14"/>
  <c r="B4355" i="87" s="1"/>
  <c r="C4355" i="87" s="1"/>
  <c r="E211" i="14"/>
  <c r="B4356" i="87" s="1"/>
  <c r="C4356" i="87" s="1"/>
  <c r="G211" i="14"/>
  <c r="B4357" i="87" s="1"/>
  <c r="C4357" i="87" s="1"/>
  <c r="H211" i="14"/>
  <c r="B4358" i="87" s="1"/>
  <c r="C4358" i="87" s="1"/>
  <c r="D219" i="14"/>
  <c r="B5230" i="87" s="1"/>
  <c r="C5230" i="87" s="1"/>
  <c r="E219" i="14"/>
  <c r="B5414" i="87" s="1"/>
  <c r="C5414" i="87" s="1"/>
  <c r="G219" i="14"/>
  <c r="B5647" i="87" s="1"/>
  <c r="C5647" i="87" s="1"/>
  <c r="H219" i="14"/>
  <c r="B5773" i="87" s="1"/>
  <c r="C5773" i="87" s="1"/>
  <c r="D223" i="14"/>
  <c r="B5248" i="87" s="1"/>
  <c r="C5248" i="87" s="1"/>
  <c r="E223" i="14"/>
  <c r="B5432" i="87" s="1"/>
  <c r="C5432" i="87" s="1"/>
  <c r="H223" i="14"/>
  <c r="B5791" i="87" s="1"/>
  <c r="C5791" i="87" s="1"/>
  <c r="D254" i="14"/>
  <c r="B6698" i="87" s="1"/>
  <c r="C6698" i="87" s="1"/>
  <c r="E254" i="14"/>
  <c r="B6729" i="87" s="1"/>
  <c r="C6729" i="87" s="1"/>
  <c r="F254" i="14"/>
  <c r="F268" i="14" s="1"/>
  <c r="B6969" i="87" s="1"/>
  <c r="C6969" i="87" s="1"/>
  <c r="G254" i="14"/>
  <c r="B6789" i="87" s="1"/>
  <c r="C6789" i="87" s="1"/>
  <c r="H254" i="14"/>
  <c r="B6819" i="87" s="1"/>
  <c r="C6819" i="87" s="1"/>
  <c r="I254" i="14"/>
  <c r="B6849" i="87" s="1"/>
  <c r="C6849" i="87" s="1"/>
  <c r="K254" i="14"/>
  <c r="K268" i="14" s="1"/>
  <c r="L254" i="14"/>
  <c r="L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46" i="73"/>
  <c r="F46" i="73"/>
  <c r="G46" i="73"/>
  <c r="I46" i="73"/>
  <c r="I113" i="73" s="1"/>
  <c r="B7174" i="87" s="1"/>
  <c r="C7174" i="87" s="1"/>
  <c r="J46" i="73"/>
  <c r="J113" i="73" s="1"/>
  <c r="B7193" i="87" s="1"/>
  <c r="C7193" i="87" s="1"/>
  <c r="K46" i="73"/>
  <c r="I50" i="73"/>
  <c r="B2049" i="87" s="1"/>
  <c r="C2049" i="87" s="1"/>
  <c r="C79" i="73"/>
  <c r="D79" i="73"/>
  <c r="D116" i="73" s="1"/>
  <c r="B7085" i="87" s="1"/>
  <c r="C7085" i="87" s="1"/>
  <c r="E79" i="73"/>
  <c r="F79" i="73"/>
  <c r="G79" i="73"/>
  <c r="H79" i="73"/>
  <c r="J79" i="73"/>
  <c r="K79" i="73"/>
  <c r="D28" i="70"/>
  <c r="E37" i="70"/>
  <c r="J37" i="70"/>
  <c r="C71" i="70"/>
  <c r="C72" i="70"/>
  <c r="C25" i="89"/>
  <c r="K130" i="73"/>
  <c r="B6591" i="87"/>
  <c r="C6591" i="87" s="1"/>
  <c r="B6910" i="87"/>
  <c r="C6910" i="87" s="1"/>
  <c r="K18" i="73"/>
  <c r="C6576" i="87"/>
  <c r="C6569" i="87"/>
  <c r="B6595" i="87"/>
  <c r="C6595" i="87" s="1"/>
  <c r="B3607" i="87"/>
  <c r="C3607" i="87" s="1"/>
  <c r="C6567" i="87"/>
  <c r="B3667" i="87"/>
  <c r="C3667" i="87" s="1"/>
  <c r="I143" i="30"/>
  <c r="B1211" i="87" s="1"/>
  <c r="C1211" i="87" s="1"/>
  <c r="Q21" i="89"/>
  <c r="Y21" i="89" s="1"/>
  <c r="V21" i="89"/>
  <c r="Z21" i="89" s="1"/>
  <c r="B1273" i="87" l="1"/>
  <c r="C1273" i="87" s="1"/>
  <c r="G146" i="84"/>
  <c r="B139" i="84"/>
  <c r="C139" i="84" s="1"/>
  <c r="A139" i="84"/>
  <c r="A160" i="84"/>
  <c r="B160" i="84"/>
  <c r="C160" i="84" s="1"/>
  <c r="B159" i="84"/>
  <c r="C159" i="84" s="1"/>
  <c r="A159" i="84"/>
  <c r="A158" i="84"/>
  <c r="B158" i="84"/>
  <c r="C158" i="84" s="1"/>
  <c r="B157" i="84"/>
  <c r="C157" i="84" s="1"/>
  <c r="A157" i="84"/>
  <c r="A156" i="84"/>
  <c r="B156" i="84"/>
  <c r="C156" i="84" s="1"/>
  <c r="A154" i="84"/>
  <c r="B154" i="84"/>
  <c r="C154" i="84" s="1"/>
  <c r="A149" i="84"/>
  <c r="B149" i="84"/>
  <c r="C149" i="84" s="1"/>
  <c r="B148" i="84"/>
  <c r="C148" i="84" s="1"/>
  <c r="A148" i="84"/>
  <c r="A147" i="84"/>
  <c r="B147" i="84"/>
  <c r="C147" i="84" s="1"/>
  <c r="B143" i="84"/>
  <c r="C143" i="84" s="1"/>
  <c r="A143" i="84"/>
  <c r="B142" i="84"/>
  <c r="C142" i="84" s="1"/>
  <c r="A142" i="84"/>
  <c r="B141" i="84"/>
  <c r="C141" i="84" s="1"/>
  <c r="A141" i="84"/>
  <c r="B140" i="84"/>
  <c r="C140" i="84" s="1"/>
  <c r="A140" i="84"/>
  <c r="B134" i="84"/>
  <c r="A134" i="84"/>
  <c r="B155" i="84"/>
  <c r="C155" i="84" s="1"/>
  <c r="A155" i="84"/>
  <c r="B152" i="84"/>
  <c r="C152" i="84" s="1"/>
  <c r="A152" i="84"/>
  <c r="B150" i="84"/>
  <c r="C150" i="84" s="1"/>
  <c r="A150" i="84"/>
  <c r="G145" i="84"/>
  <c r="E145" i="84" s="1"/>
  <c r="B136" i="84"/>
  <c r="C136" i="84" s="1"/>
  <c r="A136" i="84"/>
  <c r="B133" i="84"/>
  <c r="C133" i="84" s="1"/>
  <c r="A133" i="84"/>
  <c r="B4155" i="87"/>
  <c r="C4155" i="87" s="1"/>
  <c r="G153" i="84"/>
  <c r="B138" i="84"/>
  <c r="C138" i="84" s="1"/>
  <c r="A138" i="84"/>
  <c r="B137" i="84"/>
  <c r="C137" i="84" s="1"/>
  <c r="A137" i="84"/>
  <c r="B135" i="84"/>
  <c r="A135" i="84"/>
  <c r="A151" i="84"/>
  <c r="B151" i="84"/>
  <c r="C151" i="84" s="1"/>
  <c r="E159" i="84"/>
  <c r="E160" i="84"/>
  <c r="E158" i="84"/>
  <c r="E157" i="84"/>
  <c r="E156" i="84"/>
  <c r="E155" i="84"/>
  <c r="E154" i="84"/>
  <c r="E152" i="84"/>
  <c r="E151" i="84"/>
  <c r="E150" i="84"/>
  <c r="E149" i="84"/>
  <c r="E148" i="84"/>
  <c r="E147" i="84"/>
  <c r="E143" i="84"/>
  <c r="E142" i="84"/>
  <c r="E141" i="84"/>
  <c r="E140" i="84"/>
  <c r="E139" i="84"/>
  <c r="E138" i="84"/>
  <c r="E137" i="84"/>
  <c r="E136" i="84"/>
  <c r="B3661" i="87"/>
  <c r="C3661" i="87" s="1"/>
  <c r="B1502" i="87"/>
  <c r="C1502" i="87" s="1"/>
  <c r="B1458" i="87"/>
  <c r="C1458" i="87" s="1"/>
  <c r="B1453" i="87"/>
  <c r="C1453" i="87" s="1"/>
  <c r="B1434" i="87"/>
  <c r="C1434" i="87" s="1"/>
  <c r="B1424" i="87"/>
  <c r="C1424" i="87" s="1"/>
  <c r="B1329" i="87"/>
  <c r="C1329" i="87" s="1"/>
  <c r="B6646" i="87"/>
  <c r="C6646" i="87" s="1"/>
  <c r="B2783" i="87"/>
  <c r="C2783" i="87" s="1"/>
  <c r="B2956" i="87"/>
  <c r="C2956" i="87" s="1"/>
  <c r="B1324" i="87"/>
  <c r="C1324" i="87" s="1"/>
  <c r="B4031" i="87"/>
  <c r="C4031" i="87" s="1"/>
  <c r="B1274" i="87"/>
  <c r="C1274" i="87" s="1"/>
  <c r="B1271" i="87"/>
  <c r="C1271" i="87" s="1"/>
  <c r="B1229" i="87"/>
  <c r="C1229" i="87" s="1"/>
  <c r="B2932" i="87"/>
  <c r="C2932" i="87" s="1"/>
  <c r="B1224" i="87"/>
  <c r="C1224" i="87" s="1"/>
  <c r="B4024" i="87"/>
  <c r="C4024" i="87" s="1"/>
  <c r="I114" i="30"/>
  <c r="B997" i="87" s="1"/>
  <c r="C997" i="87" s="1"/>
  <c r="B1093" i="87"/>
  <c r="C1093" i="87" s="1"/>
  <c r="B6367" i="87"/>
  <c r="C6367" i="87" s="1"/>
  <c r="B6352" i="87"/>
  <c r="C6352" i="87" s="1"/>
  <c r="B2922" i="87"/>
  <c r="C2922" i="87" s="1"/>
  <c r="B1086" i="87"/>
  <c r="C1086" i="87" s="1"/>
  <c r="E133" i="84"/>
  <c r="B1058" i="87"/>
  <c r="C1058" i="87" s="1"/>
  <c r="B6182" i="87"/>
  <c r="C6182" i="87" s="1"/>
  <c r="B5190" i="87"/>
  <c r="C5190" i="87" s="1"/>
  <c r="B5728" i="87"/>
  <c r="C5728" i="87" s="1"/>
  <c r="B5602" i="87"/>
  <c r="C5602" i="87" s="1"/>
  <c r="B5369" i="87"/>
  <c r="C5369" i="87" s="1"/>
  <c r="B5176" i="87"/>
  <c r="C5176" i="87" s="1"/>
  <c r="B5313" i="87"/>
  <c r="C5313" i="87" s="1"/>
  <c r="B5091" i="87"/>
  <c r="C5091" i="87" s="1"/>
  <c r="B5685" i="87"/>
  <c r="C5685" i="87" s="1"/>
  <c r="B5536" i="87"/>
  <c r="C5536" i="87" s="1"/>
  <c r="B5304" i="87"/>
  <c r="C5304" i="87" s="1"/>
  <c r="B5069" i="87"/>
  <c r="C5069" i="87" s="1"/>
  <c r="B1430" i="87"/>
  <c r="C1430" i="87" s="1"/>
  <c r="L254" i="30"/>
  <c r="B1432" i="87" s="1"/>
  <c r="C1432" i="87" s="1"/>
  <c r="B1078" i="87"/>
  <c r="C1078" i="87" s="1"/>
  <c r="I22" i="99"/>
  <c r="L22" i="99" s="1"/>
  <c r="B1070" i="87"/>
  <c r="C1070" i="87" s="1"/>
  <c r="I20" i="99"/>
  <c r="L20" i="99" s="1"/>
  <c r="B2668" i="87"/>
  <c r="C2668" i="87" s="1"/>
  <c r="I18" i="99"/>
  <c r="L18" i="99" s="1"/>
  <c r="B1075" i="87"/>
  <c r="C1075" i="87" s="1"/>
  <c r="I21" i="99"/>
  <c r="B1068" i="87"/>
  <c r="C1068" i="87" s="1"/>
  <c r="I19" i="99"/>
  <c r="L19" i="99" s="1"/>
  <c r="B1065" i="87"/>
  <c r="C1065" i="87" s="1"/>
  <c r="I17" i="99"/>
  <c r="L17" i="99" s="1"/>
  <c r="I22" i="89"/>
  <c r="B5010" i="87"/>
  <c r="C5010" i="87" s="1"/>
  <c r="D112" i="14"/>
  <c r="K133" i="30"/>
  <c r="B6387" i="87" s="1"/>
  <c r="C6387" i="87" s="1"/>
  <c r="H127" i="73"/>
  <c r="D25" i="89"/>
  <c r="B6015" i="87"/>
  <c r="C6015" i="87" s="1"/>
  <c r="I79" i="73"/>
  <c r="B3262" i="87" s="1"/>
  <c r="C3262" i="87" s="1"/>
  <c r="B671" i="87"/>
  <c r="C671" i="87" s="1"/>
  <c r="D76" i="30"/>
  <c r="B6039" i="87"/>
  <c r="C6039" i="87" s="1"/>
  <c r="J116" i="73"/>
  <c r="B7194" i="87" s="1"/>
  <c r="C7194" i="87" s="1"/>
  <c r="B3204" i="87"/>
  <c r="C3204" i="87" s="1"/>
  <c r="G116" i="73"/>
  <c r="B7146" i="87" s="1"/>
  <c r="C7146" i="87" s="1"/>
  <c r="B3220" i="87"/>
  <c r="C3220" i="87" s="1"/>
  <c r="E116" i="73"/>
  <c r="B7103" i="87" s="1"/>
  <c r="C7103" i="87" s="1"/>
  <c r="B3202" i="87"/>
  <c r="C3202" i="87" s="1"/>
  <c r="G113" i="73"/>
  <c r="B7145" i="87" s="1"/>
  <c r="C7145" i="87" s="1"/>
  <c r="C24" i="89"/>
  <c r="C26" i="89" s="1"/>
  <c r="C113" i="73"/>
  <c r="B7063" i="87" s="1"/>
  <c r="C7063" i="87" s="1"/>
  <c r="G133" i="30"/>
  <c r="G155" i="30" s="1"/>
  <c r="J80" i="73"/>
  <c r="J117" i="73" s="1"/>
  <c r="B7195" i="87" s="1"/>
  <c r="C7195" i="87" s="1"/>
  <c r="B3173" i="87"/>
  <c r="C3173" i="87" s="1"/>
  <c r="B3530" i="87"/>
  <c r="C3530" i="87" s="1"/>
  <c r="K116" i="73"/>
  <c r="B7213" i="87" s="1"/>
  <c r="C7213" i="87" s="1"/>
  <c r="B3242" i="87"/>
  <c r="C3242" i="87" s="1"/>
  <c r="H116" i="73"/>
  <c r="B7164" i="87" s="1"/>
  <c r="C7164" i="87" s="1"/>
  <c r="B3198" i="87"/>
  <c r="C3198" i="87" s="1"/>
  <c r="F116" i="73"/>
  <c r="B7124" i="87" s="1"/>
  <c r="C7124" i="87" s="1"/>
  <c r="B3181" i="87"/>
  <c r="C3181" i="87" s="1"/>
  <c r="B3175" i="87"/>
  <c r="C3175" i="87" s="1"/>
  <c r="C116" i="73"/>
  <c r="B7064" i="87" s="1"/>
  <c r="C7064" i="87" s="1"/>
  <c r="B3528" i="87"/>
  <c r="C3528" i="87" s="1"/>
  <c r="K113" i="73"/>
  <c r="B7212" i="87" s="1"/>
  <c r="C7212" i="87" s="1"/>
  <c r="E24" i="89"/>
  <c r="F113" i="73"/>
  <c r="B7123" i="87" s="1"/>
  <c r="C7123" i="87" s="1"/>
  <c r="B6003" i="87"/>
  <c r="C6003" i="87" s="1"/>
  <c r="S22" i="89"/>
  <c r="T22" i="89"/>
  <c r="Q13" i="89"/>
  <c r="Y13" i="89" s="1"/>
  <c r="F200" i="30"/>
  <c r="B1296" i="87" s="1"/>
  <c r="C1296" i="87" s="1"/>
  <c r="E133" i="30"/>
  <c r="B1177" i="87" s="1"/>
  <c r="C1177" i="87" s="1"/>
  <c r="B1491" i="87"/>
  <c r="C1491" i="87" s="1"/>
  <c r="I212" i="30"/>
  <c r="B1319" i="87" s="1"/>
  <c r="C1319" i="87" s="1"/>
  <c r="L258" i="30"/>
  <c r="B1435" i="87" s="1"/>
  <c r="C1435" i="87" s="1"/>
  <c r="L151" i="30"/>
  <c r="L153" i="30" s="1"/>
  <c r="B1231" i="87" s="1"/>
  <c r="C1231" i="87" s="1"/>
  <c r="H76" i="30"/>
  <c r="B931" i="87" s="1"/>
  <c r="C931" i="87" s="1"/>
  <c r="I133" i="30"/>
  <c r="B1210" i="87" s="1"/>
  <c r="C1210" i="87" s="1"/>
  <c r="B907" i="87"/>
  <c r="C907" i="87" s="1"/>
  <c r="B156" i="87"/>
  <c r="C156" i="87" s="1"/>
  <c r="L49" i="30"/>
  <c r="B1063" i="87" s="1"/>
  <c r="C1063" i="87" s="1"/>
  <c r="I153" i="30"/>
  <c r="B1216" i="87" s="1"/>
  <c r="C1216" i="87" s="1"/>
  <c r="L247" i="30"/>
  <c r="B1429" i="87" s="1"/>
  <c r="C1429" i="87" s="1"/>
  <c r="F76" i="30"/>
  <c r="B12" i="87"/>
  <c r="C12" i="87" s="1"/>
  <c r="K106" i="73"/>
  <c r="B7207" i="87" s="1"/>
  <c r="C7207" i="87" s="1"/>
  <c r="B11" i="87"/>
  <c r="C11" i="87" s="1"/>
  <c r="H106" i="73"/>
  <c r="B7158" i="87" s="1"/>
  <c r="C7158" i="87" s="1"/>
  <c r="F80" i="73"/>
  <c r="F117" i="73" s="1"/>
  <c r="B7125" i="87" s="1"/>
  <c r="C7125" i="87" s="1"/>
  <c r="E46" i="73"/>
  <c r="E113" i="73" s="1"/>
  <c r="B7102" i="87" s="1"/>
  <c r="C7102" i="87" s="1"/>
  <c r="K80" i="73"/>
  <c r="K117" i="73" s="1"/>
  <c r="B7214" i="87" s="1"/>
  <c r="C7214" i="87" s="1"/>
  <c r="G7" i="89"/>
  <c r="W7" i="89" s="1"/>
  <c r="B1200" i="87"/>
  <c r="C1200" i="87" s="1"/>
  <c r="H133" i="30"/>
  <c r="B1202" i="87" s="1"/>
  <c r="C1202" i="87" s="1"/>
  <c r="B729" i="87"/>
  <c r="C729" i="87" s="1"/>
  <c r="E76" i="30"/>
  <c r="E117" i="30" s="1"/>
  <c r="B7316" i="87" s="1"/>
  <c r="C7316" i="87" s="1"/>
  <c r="B722" i="87"/>
  <c r="C722" i="87" s="1"/>
  <c r="L34" i="30"/>
  <c r="L67" i="30"/>
  <c r="B1077" i="87" s="1"/>
  <c r="C1077" i="87" s="1"/>
  <c r="B4100" i="87"/>
  <c r="C4100" i="87" s="1"/>
  <c r="B3261" i="87"/>
  <c r="C3261" i="87" s="1"/>
  <c r="F24" i="89"/>
  <c r="B6012" i="87"/>
  <c r="C6012" i="87" s="1"/>
  <c r="H46" i="73"/>
  <c r="H80" i="73" s="1"/>
  <c r="H117" i="73" s="1"/>
  <c r="B7165" i="87" s="1"/>
  <c r="C7165" i="87" s="1"/>
  <c r="B3577" i="87"/>
  <c r="C3577" i="87" s="1"/>
  <c r="O22" i="89"/>
  <c r="M22" i="89"/>
  <c r="R22" i="89"/>
  <c r="N22" i="89"/>
  <c r="B1485" i="87"/>
  <c r="C1485" i="87" s="1"/>
  <c r="L74" i="30"/>
  <c r="B1085" i="87" s="1"/>
  <c r="C1085" i="87" s="1"/>
  <c r="L172" i="14"/>
  <c r="B5958" i="87" s="1"/>
  <c r="C5958" i="87" s="1"/>
  <c r="G171" i="14"/>
  <c r="F6" i="73"/>
  <c r="F94" i="73" s="1"/>
  <c r="B7108" i="87" s="1"/>
  <c r="C7108" i="87" s="1"/>
  <c r="B6909" i="87"/>
  <c r="C6909" i="87" s="1"/>
  <c r="G111" i="14"/>
  <c r="F111" i="14"/>
  <c r="B5501" i="87"/>
  <c r="C5501" i="87" s="1"/>
  <c r="D6" i="73"/>
  <c r="D94" i="73" s="1"/>
  <c r="B7069" i="87" s="1"/>
  <c r="C7069" i="87" s="1"/>
  <c r="K269" i="14"/>
  <c r="B6186" i="87" s="1"/>
  <c r="C6186" i="87" s="1"/>
  <c r="I111" i="14"/>
  <c r="E268" i="14"/>
  <c r="B5445" i="87" s="1"/>
  <c r="C5445" i="87" s="1"/>
  <c r="C6" i="73"/>
  <c r="C94" i="73" s="1"/>
  <c r="B7047" i="87" s="1"/>
  <c r="C7047" i="87" s="1"/>
  <c r="H171" i="14"/>
  <c r="B5714" i="87" s="1"/>
  <c r="C5714" i="87" s="1"/>
  <c r="E111" i="14"/>
  <c r="D111" i="14"/>
  <c r="B6759" i="87"/>
  <c r="C6759" i="87" s="1"/>
  <c r="B5696" i="87"/>
  <c r="C5696" i="87" s="1"/>
  <c r="J111" i="14"/>
  <c r="H268" i="14"/>
  <c r="D171" i="14"/>
  <c r="G268" i="14"/>
  <c r="B5657" i="87" s="1"/>
  <c r="C5657" i="87" s="1"/>
  <c r="L269" i="14"/>
  <c r="B5966" i="87" s="1"/>
  <c r="C5966" i="87" s="1"/>
  <c r="B1308" i="87"/>
  <c r="C1308" i="87" s="1"/>
  <c r="H214" i="30"/>
  <c r="B1309" i="87" s="1"/>
  <c r="C1309" i="87" s="1"/>
  <c r="B1183" i="87"/>
  <c r="C1183" i="87" s="1"/>
  <c r="F133" i="30"/>
  <c r="B1492" i="87"/>
  <c r="C1492" i="87" s="1"/>
  <c r="F269" i="14"/>
  <c r="H124" i="73"/>
  <c r="F172" i="14"/>
  <c r="B3196" i="87"/>
  <c r="C3196" i="87" s="1"/>
  <c r="C6565" i="87"/>
  <c r="H111" i="14"/>
  <c r="L111" i="14"/>
  <c r="G6" i="73"/>
  <c r="K172" i="14"/>
  <c r="E25" i="89"/>
  <c r="L59" i="30"/>
  <c r="B1069" i="87" s="1"/>
  <c r="C1069" i="87" s="1"/>
  <c r="I76" i="30"/>
  <c r="B6666" i="87"/>
  <c r="C6666" i="87" s="1"/>
  <c r="E171" i="14"/>
  <c r="J172" i="14"/>
  <c r="B4160" i="87" s="1"/>
  <c r="C4160" i="87" s="1"/>
  <c r="D46" i="73"/>
  <c r="D113" i="73" s="1"/>
  <c r="B7084" i="87" s="1"/>
  <c r="C7084" i="87" s="1"/>
  <c r="C80" i="73"/>
  <c r="C117" i="73" s="1"/>
  <c r="B7065" i="87" s="1"/>
  <c r="C7065" i="87" s="1"/>
  <c r="E18" i="73"/>
  <c r="I268" i="14"/>
  <c r="B4385" i="87" s="1"/>
  <c r="C4385" i="87" s="1"/>
  <c r="D268" i="14"/>
  <c r="I172" i="14"/>
  <c r="D133" i="30"/>
  <c r="B1169" i="87" s="1"/>
  <c r="C1169" i="87" s="1"/>
  <c r="L21" i="89"/>
  <c r="X21" i="89" s="1"/>
  <c r="L13" i="89"/>
  <c r="X13" i="89" s="1"/>
  <c r="J22" i="89"/>
  <c r="L22" i="89" s="1"/>
  <c r="X22" i="89" s="1"/>
  <c r="L112" i="30"/>
  <c r="B6636" i="87" s="1"/>
  <c r="C6636" i="87" s="1"/>
  <c r="V26" i="89"/>
  <c r="Z26" i="89" s="1"/>
  <c r="Q26" i="89"/>
  <c r="Y26" i="89" s="1"/>
  <c r="L26" i="89"/>
  <c r="X26" i="89" s="1"/>
  <c r="V13" i="89"/>
  <c r="Z13" i="89" s="1"/>
  <c r="F309" i="30"/>
  <c r="B1480" i="87" s="1"/>
  <c r="C1480" i="87" s="1"/>
  <c r="C6568" i="87"/>
  <c r="B3579" i="87"/>
  <c r="C3579" i="87" s="1"/>
  <c r="C6570" i="87"/>
  <c r="B1497" i="87"/>
  <c r="C1497" i="87" s="1"/>
  <c r="I309" i="30"/>
  <c r="B1354" i="87"/>
  <c r="C1354" i="87" s="1"/>
  <c r="B3593" i="87"/>
  <c r="C3593" i="87" s="1"/>
  <c r="I176" i="30"/>
  <c r="B1467" i="87"/>
  <c r="C1467" i="87" s="1"/>
  <c r="B1479" i="87"/>
  <c r="C1479" i="87" s="1"/>
  <c r="F18" i="73"/>
  <c r="B3565" i="87"/>
  <c r="C3565" i="87" s="1"/>
  <c r="B3600" i="87"/>
  <c r="C3600" i="87" s="1"/>
  <c r="G76" i="30"/>
  <c r="G117" i="30" s="1"/>
  <c r="B7318" i="87" s="1"/>
  <c r="C7318" i="87" s="1"/>
  <c r="K76" i="30"/>
  <c r="K117" i="30" s="1"/>
  <c r="B7322" i="87" s="1"/>
  <c r="C7322" i="87" s="1"/>
  <c r="L300" i="30"/>
  <c r="H14" i="73" s="1"/>
  <c r="G18" i="73"/>
  <c r="C18" i="73"/>
  <c r="D15" i="73"/>
  <c r="D103" i="73" s="1"/>
  <c r="B7076" i="87" s="1"/>
  <c r="C7076" i="87" s="1"/>
  <c r="B4043" i="87"/>
  <c r="C4043" i="87" s="1"/>
  <c r="L307" i="30"/>
  <c r="H16" i="73" s="1"/>
  <c r="H104" i="73" s="1"/>
  <c r="B7157" i="87" s="1"/>
  <c r="C7157" i="87" s="1"/>
  <c r="B6466" i="87"/>
  <c r="C6466" i="87" s="1"/>
  <c r="J309" i="30"/>
  <c r="B1473" i="87"/>
  <c r="C1473" i="87" s="1"/>
  <c r="E309" i="30"/>
  <c r="B1396" i="87"/>
  <c r="C1396" i="87" s="1"/>
  <c r="J214" i="30"/>
  <c r="B6406" i="87" s="1"/>
  <c r="C6406" i="87" s="1"/>
  <c r="D214" i="30"/>
  <c r="B1284" i="87" s="1"/>
  <c r="C1284" i="87" s="1"/>
  <c r="B2930" i="87"/>
  <c r="C2930" i="87" s="1"/>
  <c r="L141" i="30"/>
  <c r="L143" i="30" s="1"/>
  <c r="J133" i="30"/>
  <c r="J76" i="30"/>
  <c r="K128" i="73"/>
  <c r="B3594" i="87"/>
  <c r="C3594" i="87" s="1"/>
  <c r="B2541" i="87"/>
  <c r="C2541" i="87" s="1"/>
  <c r="E17" i="89"/>
  <c r="B3584" i="87"/>
  <c r="C3584" i="87" s="1"/>
  <c r="B1455" i="87"/>
  <c r="C1455" i="87" s="1"/>
  <c r="G15" i="73"/>
  <c r="B1302" i="87"/>
  <c r="C1302" i="87" s="1"/>
  <c r="G214" i="30"/>
  <c r="B1252" i="87"/>
  <c r="C1252" i="87" s="1"/>
  <c r="L274" i="30"/>
  <c r="B1452" i="87" s="1"/>
  <c r="C1452" i="87" s="1"/>
  <c r="L188" i="30"/>
  <c r="B6665" i="87"/>
  <c r="C6665" i="87" s="1"/>
  <c r="B3613" i="87"/>
  <c r="C3613" i="87" s="1"/>
  <c r="C6564" i="87"/>
  <c r="B1398" i="87"/>
  <c r="C1398" i="87" s="1"/>
  <c r="G129" i="73"/>
  <c r="B2772" i="87"/>
  <c r="C2772" i="87" s="1"/>
  <c r="I200" i="30"/>
  <c r="B148" i="87"/>
  <c r="C148" i="87" s="1"/>
  <c r="D18" i="73"/>
  <c r="B1218" i="87"/>
  <c r="C1218" i="87" s="1"/>
  <c r="L131" i="30"/>
  <c r="B1223" i="87" s="1"/>
  <c r="C1223" i="87" s="1"/>
  <c r="B1456" i="87"/>
  <c r="C1456" i="87" s="1"/>
  <c r="L290" i="30"/>
  <c r="F104" i="30"/>
  <c r="B2734" i="87" s="1"/>
  <c r="C2734" i="87" s="1"/>
  <c r="I104" i="30"/>
  <c r="B6342" i="87"/>
  <c r="C6342" i="87" s="1"/>
  <c r="L94" i="30"/>
  <c r="B2033" i="87" s="1"/>
  <c r="C2033" i="87" s="1"/>
  <c r="B1088" i="87"/>
  <c r="C1088" i="87" s="1"/>
  <c r="C15" i="73"/>
  <c r="L267" i="30"/>
  <c r="B1444" i="87" s="1"/>
  <c r="C1444" i="87" s="1"/>
  <c r="L198" i="30"/>
  <c r="B1419" i="87"/>
  <c r="C1419" i="87" s="1"/>
  <c r="L242" i="30"/>
  <c r="B1054" i="87"/>
  <c r="C1054" i="87" s="1"/>
  <c r="L44" i="30"/>
  <c r="B1059" i="87" s="1"/>
  <c r="C1059" i="87" s="1"/>
  <c r="L172" i="30"/>
  <c r="B1272" i="87" s="1"/>
  <c r="C1272" i="87" s="1"/>
  <c r="L212" i="30"/>
  <c r="L102" i="30"/>
  <c r="L233" i="30"/>
  <c r="L86" i="30"/>
  <c r="G80" i="73"/>
  <c r="G117" i="73" s="1"/>
  <c r="B7147" i="87" s="1"/>
  <c r="C7147" i="87" s="1"/>
  <c r="J269" i="14"/>
  <c r="B6879" i="87"/>
  <c r="C6879" i="87" s="1"/>
  <c r="K111" i="14"/>
  <c r="C6439" i="87" s="1"/>
  <c r="C6566" i="87"/>
  <c r="B1368" i="87"/>
  <c r="C1368" i="87" s="1"/>
  <c r="E276" i="30"/>
  <c r="E292" i="30" s="1"/>
  <c r="K214" i="30"/>
  <c r="E214" i="30"/>
  <c r="L55" i="30"/>
  <c r="B1066" i="87" s="1"/>
  <c r="C1066" i="87" s="1"/>
  <c r="G175" i="84" l="1"/>
  <c r="C54" i="76" s="1"/>
  <c r="B153" i="84"/>
  <c r="C153" i="84" s="1"/>
  <c r="A153" i="84"/>
  <c r="E153" i="84"/>
  <c r="B146" i="84"/>
  <c r="C146" i="84" s="1"/>
  <c r="A146" i="84"/>
  <c r="E146" i="84"/>
  <c r="B145" i="84"/>
  <c r="C145" i="84" s="1"/>
  <c r="A145" i="84"/>
  <c r="H19" i="73"/>
  <c r="C134" i="84"/>
  <c r="E134" i="84"/>
  <c r="E135" i="84"/>
  <c r="C135" i="84"/>
  <c r="B5588" i="87"/>
  <c r="C5588" i="87" s="1"/>
  <c r="B5356" i="87"/>
  <c r="C5356" i="87" s="1"/>
  <c r="B5532" i="87"/>
  <c r="C5532" i="87" s="1"/>
  <c r="B7304" i="87"/>
  <c r="C7304" i="87" s="1"/>
  <c r="I24" i="99"/>
  <c r="L21" i="99"/>
  <c r="L24" i="99" s="1"/>
  <c r="L25" i="99" s="1"/>
  <c r="V22" i="89"/>
  <c r="Z22" i="89" s="1"/>
  <c r="K155" i="30"/>
  <c r="D131" i="73" s="1"/>
  <c r="J270" i="14"/>
  <c r="B5890" i="87" s="1"/>
  <c r="C5890" i="87" s="1"/>
  <c r="E5" i="73"/>
  <c r="E93" i="73" s="1"/>
  <c r="B7089" i="87" s="1"/>
  <c r="C7089" i="87" s="1"/>
  <c r="F270" i="14"/>
  <c r="B2034" i="87"/>
  <c r="C2034" i="87" s="1"/>
  <c r="F128" i="73"/>
  <c r="B1193" i="87"/>
  <c r="C1193" i="87" s="1"/>
  <c r="D116" i="30"/>
  <c r="C124" i="73" s="1"/>
  <c r="D117" i="30"/>
  <c r="B7315" i="87" s="1"/>
  <c r="C7315" i="87" s="1"/>
  <c r="F25" i="89"/>
  <c r="G25" i="89" s="1"/>
  <c r="W25" i="89" s="1"/>
  <c r="I80" i="73"/>
  <c r="I117" i="73" s="1"/>
  <c r="B7176" i="87" s="1"/>
  <c r="C7176" i="87" s="1"/>
  <c r="I13" i="97"/>
  <c r="B107" i="87" s="1"/>
  <c r="C107" i="87" s="1"/>
  <c r="I116" i="73"/>
  <c r="B7175" i="87" s="1"/>
  <c r="C7175" i="87" s="1"/>
  <c r="J117" i="30"/>
  <c r="B7321" i="87" s="1"/>
  <c r="C7321" i="87" s="1"/>
  <c r="J116" i="30"/>
  <c r="B815" i="87"/>
  <c r="C815" i="87" s="1"/>
  <c r="F117" i="30"/>
  <c r="B7317" i="87" s="1"/>
  <c r="C7317" i="87" s="1"/>
  <c r="H117" i="30"/>
  <c r="B7319" i="87" s="1"/>
  <c r="C7319" i="87" s="1"/>
  <c r="H116" i="30"/>
  <c r="C128" i="73" s="1"/>
  <c r="I116" i="30"/>
  <c r="I117" i="30"/>
  <c r="B7320" i="87" s="1"/>
  <c r="C7320" i="87" s="1"/>
  <c r="C13" i="73"/>
  <c r="B2500" i="87" s="1"/>
  <c r="C2500" i="87" s="1"/>
  <c r="E116" i="30"/>
  <c r="C125" i="73" s="1"/>
  <c r="E155" i="30"/>
  <c r="B1178" i="87" s="1"/>
  <c r="C1178" i="87" s="1"/>
  <c r="D17" i="73"/>
  <c r="D105" i="73" s="1"/>
  <c r="B7078" i="87" s="1"/>
  <c r="C7078" i="87" s="1"/>
  <c r="B6640" i="87"/>
  <c r="C6640" i="87" s="1"/>
  <c r="B699" i="87"/>
  <c r="C699" i="87" s="1"/>
  <c r="B757" i="87"/>
  <c r="C757" i="87" s="1"/>
  <c r="F214" i="30"/>
  <c r="F126" i="73" s="1"/>
  <c r="E26" i="89"/>
  <c r="B3240" i="87"/>
  <c r="C3240" i="87" s="1"/>
  <c r="H113" i="73"/>
  <c r="B7163" i="87" s="1"/>
  <c r="C7163" i="87" s="1"/>
  <c r="B6040" i="87"/>
  <c r="C6040" i="87" s="1"/>
  <c r="L76" i="30"/>
  <c r="D155" i="30"/>
  <c r="B1170" i="87" s="1"/>
  <c r="C1170" i="87" s="1"/>
  <c r="F124" i="73"/>
  <c r="B989" i="87"/>
  <c r="C989" i="87" s="1"/>
  <c r="I155" i="30"/>
  <c r="D129" i="73" s="1"/>
  <c r="F116" i="30"/>
  <c r="B817" i="87" s="1"/>
  <c r="C817" i="87" s="1"/>
  <c r="B1503" i="87"/>
  <c r="C1503" i="87" s="1"/>
  <c r="H155" i="30"/>
  <c r="D128" i="73" s="1"/>
  <c r="F130" i="73"/>
  <c r="B3353" i="87"/>
  <c r="C3353" i="87" s="1"/>
  <c r="G94" i="73"/>
  <c r="B7129" i="87" s="1"/>
  <c r="C7129" i="87" s="1"/>
  <c r="C20" i="89"/>
  <c r="C106" i="73"/>
  <c r="B7058" i="87" s="1"/>
  <c r="C7058" i="87" s="1"/>
  <c r="C17" i="89"/>
  <c r="C103" i="73"/>
  <c r="B7055" i="87" s="1"/>
  <c r="C7055" i="87" s="1"/>
  <c r="B2553" i="87"/>
  <c r="C2553" i="87" s="1"/>
  <c r="G103" i="73"/>
  <c r="B7137" i="87" s="1"/>
  <c r="C7137" i="87" s="1"/>
  <c r="B10" i="87"/>
  <c r="C10" i="87" s="1"/>
  <c r="G106" i="73"/>
  <c r="B7140" i="87" s="1"/>
  <c r="C7140" i="87" s="1"/>
  <c r="E20" i="89"/>
  <c r="F106" i="73"/>
  <c r="B7118" i="87" s="1"/>
  <c r="C7118" i="87" s="1"/>
  <c r="B7" i="87"/>
  <c r="C7" i="87" s="1"/>
  <c r="D106" i="73"/>
  <c r="B7079" i="87" s="1"/>
  <c r="C7079" i="87" s="1"/>
  <c r="B6" i="87"/>
  <c r="C6" i="87" s="1"/>
  <c r="B2603" i="87"/>
  <c r="C2603" i="87" s="1"/>
  <c r="H102" i="73"/>
  <c r="B1052" i="87"/>
  <c r="C1052" i="87" s="1"/>
  <c r="B9" i="87"/>
  <c r="C9" i="87" s="1"/>
  <c r="B8" i="87"/>
  <c r="C8" i="87" s="1"/>
  <c r="E106" i="73"/>
  <c r="B7097" i="87" s="1"/>
  <c r="C7097" i="87" s="1"/>
  <c r="B3205" i="87"/>
  <c r="C3205" i="87" s="1"/>
  <c r="B3243" i="87"/>
  <c r="C3243" i="87" s="1"/>
  <c r="E80" i="73"/>
  <c r="E117" i="73" s="1"/>
  <c r="B7104" i="87" s="1"/>
  <c r="C7104" i="87" s="1"/>
  <c r="B3218" i="87"/>
  <c r="C3218" i="87" s="1"/>
  <c r="B3176" i="87"/>
  <c r="C3176" i="87" s="1"/>
  <c r="B3263" i="87"/>
  <c r="C3263" i="87" s="1"/>
  <c r="B3531" i="87"/>
  <c r="C3531" i="87" s="1"/>
  <c r="B3199" i="87"/>
  <c r="C3199" i="87" s="1"/>
  <c r="Q22" i="89"/>
  <c r="Y22" i="89" s="1"/>
  <c r="B3620" i="87"/>
  <c r="C3620" i="87" s="1"/>
  <c r="K7" i="73"/>
  <c r="G172" i="14"/>
  <c r="E10" i="89"/>
  <c r="B3352" i="87"/>
  <c r="C3352" i="87" s="1"/>
  <c r="G269" i="14"/>
  <c r="B5663" i="87" s="1"/>
  <c r="C5663" i="87" s="1"/>
  <c r="F5" i="73"/>
  <c r="F93" i="73" s="1"/>
  <c r="B7107" i="87" s="1"/>
  <c r="C7107" i="87" s="1"/>
  <c r="B5471" i="87"/>
  <c r="C5471" i="87" s="1"/>
  <c r="K8" i="73"/>
  <c r="J8" i="73"/>
  <c r="H172" i="14"/>
  <c r="B5722" i="87" s="1"/>
  <c r="C5722" i="87" s="1"/>
  <c r="E269" i="14"/>
  <c r="B3350" i="87"/>
  <c r="C3350" i="87" s="1"/>
  <c r="D10" i="89"/>
  <c r="C10" i="89"/>
  <c r="B3349" i="87"/>
  <c r="C3349" i="87" s="1"/>
  <c r="E172" i="14"/>
  <c r="H5" i="73"/>
  <c r="B5969" i="87"/>
  <c r="C5969" i="87" s="1"/>
  <c r="B5807" i="87"/>
  <c r="C5807" i="87" s="1"/>
  <c r="H269" i="14"/>
  <c r="B5065" i="87"/>
  <c r="C5065" i="87" s="1"/>
  <c r="C5" i="73"/>
  <c r="C93" i="73" s="1"/>
  <c r="B7046" i="87" s="1"/>
  <c r="C7046" i="87" s="1"/>
  <c r="I5" i="73"/>
  <c r="I93" i="73" s="1"/>
  <c r="B7168" i="87" s="1"/>
  <c r="C7168" i="87" s="1"/>
  <c r="B5970" i="87"/>
  <c r="C5970" i="87" s="1"/>
  <c r="B5300" i="87"/>
  <c r="C5300" i="87" s="1"/>
  <c r="D5" i="73"/>
  <c r="D93" i="73" s="1"/>
  <c r="B7068" i="87" s="1"/>
  <c r="C7068" i="87" s="1"/>
  <c r="D172" i="14"/>
  <c r="B5158" i="87"/>
  <c r="C5158" i="87" s="1"/>
  <c r="I7" i="73"/>
  <c r="I269" i="14"/>
  <c r="H8" i="73" s="1"/>
  <c r="B5264" i="87"/>
  <c r="C5264" i="87" s="1"/>
  <c r="D269" i="14"/>
  <c r="G5" i="73"/>
  <c r="G93" i="73" s="1"/>
  <c r="B7128" i="87" s="1"/>
  <c r="C7128" i="87" s="1"/>
  <c r="B5968" i="87"/>
  <c r="C5968" i="87" s="1"/>
  <c r="E7" i="73"/>
  <c r="E95" i="73" s="1"/>
  <c r="B7090" i="87" s="1"/>
  <c r="C7090" i="87" s="1"/>
  <c r="B5488" i="87"/>
  <c r="C5488" i="87" s="1"/>
  <c r="E8" i="73"/>
  <c r="B4378" i="87"/>
  <c r="C4378" i="87" s="1"/>
  <c r="F155" i="30"/>
  <c r="B1185" i="87"/>
  <c r="C1185" i="87" s="1"/>
  <c r="D20" i="89"/>
  <c r="L114" i="30"/>
  <c r="C17" i="73" s="1"/>
  <c r="C105" i="73" s="1"/>
  <c r="B7057" i="87" s="1"/>
  <c r="C7057" i="87" s="1"/>
  <c r="H7" i="73"/>
  <c r="H95" i="73" s="1"/>
  <c r="B7151" i="87" s="1"/>
  <c r="C7151" i="87" s="1"/>
  <c r="B5850" i="87"/>
  <c r="C5850" i="87" s="1"/>
  <c r="D24" i="89"/>
  <c r="D80" i="73"/>
  <c r="D117" i="73" s="1"/>
  <c r="B7086" i="87" s="1"/>
  <c r="C7086" i="87" s="1"/>
  <c r="B3179" i="87"/>
  <c r="C3179" i="87" s="1"/>
  <c r="J7" i="73"/>
  <c r="B6170" i="87"/>
  <c r="C6170" i="87" s="1"/>
  <c r="L270" i="14"/>
  <c r="B5972" i="87"/>
  <c r="C5972" i="87" s="1"/>
  <c r="K5" i="73"/>
  <c r="K93" i="73" s="1"/>
  <c r="B7198" i="87" s="1"/>
  <c r="C7198" i="87" s="1"/>
  <c r="B2046" i="87"/>
  <c r="C2046" i="87" s="1"/>
  <c r="H126" i="73"/>
  <c r="B2604" i="87"/>
  <c r="C2604" i="87" s="1"/>
  <c r="B2502" i="87"/>
  <c r="C2502" i="87" s="1"/>
  <c r="J155" i="30"/>
  <c r="B6386" i="87"/>
  <c r="C6386" i="87" s="1"/>
  <c r="K125" i="73"/>
  <c r="B3572" i="87"/>
  <c r="C3572" i="87" s="1"/>
  <c r="L309" i="30"/>
  <c r="G116" i="30"/>
  <c r="B873" i="87"/>
  <c r="C873" i="87" s="1"/>
  <c r="C6612" i="87"/>
  <c r="I178" i="30"/>
  <c r="B1261" i="87"/>
  <c r="C1261" i="87" s="1"/>
  <c r="B1498" i="87"/>
  <c r="C1498" i="87" s="1"/>
  <c r="H129" i="73"/>
  <c r="B6335" i="87"/>
  <c r="C6335" i="87" s="1"/>
  <c r="H130" i="73"/>
  <c r="B6481" i="87"/>
  <c r="C6481" i="87" s="1"/>
  <c r="B2514" i="87"/>
  <c r="C2514" i="87" s="1"/>
  <c r="D17" i="89"/>
  <c r="B6336" i="87"/>
  <c r="C6336" i="87" s="1"/>
  <c r="K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I214" i="30"/>
  <c r="B1474" i="87"/>
  <c r="C1474" i="87" s="1"/>
  <c r="H125" i="73"/>
  <c r="K17" i="73"/>
  <c r="L133" i="30"/>
  <c r="L155" i="30" s="1"/>
  <c r="B1253" i="87"/>
  <c r="C1253" i="87" s="1"/>
  <c r="E126" i="73"/>
  <c r="B1303" i="87"/>
  <c r="C1303" i="87" s="1"/>
  <c r="F127" i="73"/>
  <c r="B3586" i="87"/>
  <c r="C3586" i="87" s="1"/>
  <c r="L176" i="30"/>
  <c r="B2037" i="87"/>
  <c r="C2037" i="87" s="1"/>
  <c r="B1425" i="87"/>
  <c r="C1425" i="87" s="1"/>
  <c r="L276" i="30"/>
  <c r="L292" i="30" s="1"/>
  <c r="B2781" i="87"/>
  <c r="C2781" i="87" s="1"/>
  <c r="L200" i="30"/>
  <c r="L214" i="30" s="1"/>
  <c r="B1418" i="87"/>
  <c r="C1418" i="87" s="1"/>
  <c r="G13" i="73"/>
  <c r="F17" i="73"/>
  <c r="F105" i="73" s="1"/>
  <c r="B7117" i="87" s="1"/>
  <c r="C7117" i="87" s="1"/>
  <c r="B1331" i="87"/>
  <c r="C1331" i="87" s="1"/>
  <c r="B2032" i="87"/>
  <c r="C2032" i="87" s="1"/>
  <c r="L104" i="30"/>
  <c r="B6407" i="87"/>
  <c r="C6407" i="87" s="1"/>
  <c r="F131" i="73"/>
  <c r="K270" i="14"/>
  <c r="B6125" i="87"/>
  <c r="C6125" i="87" s="1"/>
  <c r="J5" i="73"/>
  <c r="J93" i="73" s="1"/>
  <c r="B7179" i="87" s="1"/>
  <c r="C7179" i="87" s="1"/>
  <c r="B4379" i="87"/>
  <c r="C4379" i="87" s="1"/>
  <c r="I8" i="73"/>
  <c r="I96" i="73" s="1"/>
  <c r="B7170" i="87" s="1"/>
  <c r="C7170" i="87" s="1"/>
  <c r="B4147" i="87"/>
  <c r="C4147" i="87" s="1"/>
  <c r="B1290" i="87"/>
  <c r="C1290" i="87" s="1"/>
  <c r="F125" i="73"/>
  <c r="B1390" i="87"/>
  <c r="C1390" i="87" s="1"/>
  <c r="C6613" i="87"/>
  <c r="C6615" i="87"/>
  <c r="C6581" i="87"/>
  <c r="B2574" i="87" l="1"/>
  <c r="C2574" i="87" s="1"/>
  <c r="F54" i="76"/>
  <c r="F7" i="73"/>
  <c r="F95" i="73" s="1"/>
  <c r="B7109" i="87" s="1"/>
  <c r="C7109" i="87" s="1"/>
  <c r="D7" i="73"/>
  <c r="D95" i="73" s="1"/>
  <c r="B7070" i="87" s="1"/>
  <c r="C7070" i="87" s="1"/>
  <c r="B5496" i="87"/>
  <c r="C5496" i="87" s="1"/>
  <c r="L429" i="30"/>
  <c r="B6616" i="87" s="1"/>
  <c r="C6616" i="87" s="1"/>
  <c r="G101" i="73"/>
  <c r="B7135" i="87" s="1"/>
  <c r="C7135" i="87" s="1"/>
  <c r="F26" i="89"/>
  <c r="H107" i="73"/>
  <c r="B7159" i="87" s="1"/>
  <c r="C7159" i="87" s="1"/>
  <c r="B7156" i="87"/>
  <c r="C7156" i="87" s="1"/>
  <c r="D270" i="14"/>
  <c r="E270" i="14"/>
  <c r="D271" i="14"/>
  <c r="H270" i="14"/>
  <c r="L293" i="30" s="1"/>
  <c r="B1462" i="87" s="1"/>
  <c r="C1462" i="87" s="1"/>
  <c r="B1203" i="87"/>
  <c r="C1203" i="87" s="1"/>
  <c r="D125" i="73"/>
  <c r="B2551" i="87"/>
  <c r="C2551" i="87" s="1"/>
  <c r="B2516" i="87"/>
  <c r="C2516" i="87" s="1"/>
  <c r="B759" i="87"/>
  <c r="C759" i="87" s="1"/>
  <c r="B933" i="87"/>
  <c r="C933" i="87" s="1"/>
  <c r="C15" i="89"/>
  <c r="G15" i="89" s="1"/>
  <c r="W15" i="89" s="1"/>
  <c r="I20" i="97"/>
  <c r="B111" i="87" s="1"/>
  <c r="C111" i="87" s="1"/>
  <c r="I34" i="97"/>
  <c r="C14" i="73"/>
  <c r="C16" i="89" s="1"/>
  <c r="L117" i="30"/>
  <c r="B7323" i="87" s="1"/>
  <c r="C7323" i="87" s="1"/>
  <c r="L116" i="30"/>
  <c r="B1096" i="87" s="1"/>
  <c r="C1096" i="87" s="1"/>
  <c r="D19" i="89"/>
  <c r="B1217" i="87"/>
  <c r="C1217" i="87" s="1"/>
  <c r="B1297" i="87"/>
  <c r="C1297" i="87" s="1"/>
  <c r="D124" i="73"/>
  <c r="L124" i="73" s="1"/>
  <c r="B1087" i="87"/>
  <c r="C1087" i="87" s="1"/>
  <c r="B701" i="87"/>
  <c r="C701" i="87" s="1"/>
  <c r="B5967" i="87"/>
  <c r="C5967" i="87" s="1"/>
  <c r="L454" i="30"/>
  <c r="G17" i="89"/>
  <c r="W17" i="89" s="1"/>
  <c r="B1095" i="87"/>
  <c r="C1095" i="87" s="1"/>
  <c r="C126" i="73"/>
  <c r="G20" i="89"/>
  <c r="W20" i="89" s="1"/>
  <c r="L128" i="73"/>
  <c r="B4387" i="87"/>
  <c r="C4387" i="87" s="1"/>
  <c r="E96" i="73"/>
  <c r="B2599" i="87"/>
  <c r="C2599" i="87" s="1"/>
  <c r="H93" i="73"/>
  <c r="B7150" i="87" s="1"/>
  <c r="C7150" i="87" s="1"/>
  <c r="B5988" i="87"/>
  <c r="C5988" i="87" s="1"/>
  <c r="J96" i="73"/>
  <c r="B7181" i="87" s="1"/>
  <c r="C7181" i="87" s="1"/>
  <c r="B3514" i="87"/>
  <c r="C3514" i="87" s="1"/>
  <c r="K95" i="73"/>
  <c r="B7199" i="87" s="1"/>
  <c r="C7199" i="87" s="1"/>
  <c r="B3662" i="87"/>
  <c r="C3662" i="87" s="1"/>
  <c r="K96" i="73"/>
  <c r="B5987" i="87"/>
  <c r="C5987" i="87" s="1"/>
  <c r="J95" i="73"/>
  <c r="B2601" i="87"/>
  <c r="C2601" i="87" s="1"/>
  <c r="H96" i="73"/>
  <c r="B7152" i="87" s="1"/>
  <c r="C7152" i="87" s="1"/>
  <c r="B4955" i="87"/>
  <c r="C4955" i="87" s="1"/>
  <c r="I95" i="73"/>
  <c r="B2555" i="87"/>
  <c r="C2555" i="87" s="1"/>
  <c r="G105" i="73"/>
  <c r="B7139" i="87" s="1"/>
  <c r="C7139" i="87" s="1"/>
  <c r="B5976" i="87"/>
  <c r="C5976" i="87" s="1"/>
  <c r="G104" i="73"/>
  <c r="B7138" i="87" s="1"/>
  <c r="C7138" i="87" s="1"/>
  <c r="J107" i="73"/>
  <c r="B7189" i="87" s="1"/>
  <c r="C7189" i="87" s="1"/>
  <c r="B3518" i="87"/>
  <c r="C3518" i="87" s="1"/>
  <c r="K105" i="73"/>
  <c r="B7206" i="87" s="1"/>
  <c r="C7206" i="87" s="1"/>
  <c r="B2605" i="87"/>
  <c r="C2605" i="87" s="1"/>
  <c r="H13" i="97"/>
  <c r="B96" i="87" s="1"/>
  <c r="C96" i="87" s="1"/>
  <c r="B3182" i="87"/>
  <c r="C3182" i="87" s="1"/>
  <c r="B3221" i="87"/>
  <c r="C3221" i="87" s="1"/>
  <c r="B5597" i="87"/>
  <c r="C5597" i="87" s="1"/>
  <c r="I9" i="73"/>
  <c r="I22" i="73" s="1"/>
  <c r="G7" i="73"/>
  <c r="B5365" i="87"/>
  <c r="C5365" i="87" s="1"/>
  <c r="F8" i="73"/>
  <c r="G270" i="14"/>
  <c r="D8" i="73"/>
  <c r="B5451" i="87"/>
  <c r="C5451" i="87" s="1"/>
  <c r="B2535" i="87"/>
  <c r="C2535" i="87" s="1"/>
  <c r="E9" i="89"/>
  <c r="B5858" i="87"/>
  <c r="C5858" i="87" s="1"/>
  <c r="I270" i="14"/>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L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L130" i="73" s="1"/>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C7077" i="87" s="1"/>
  <c r="B1232" i="87"/>
  <c r="C1232" i="87" s="1"/>
  <c r="F16" i="73"/>
  <c r="B1326" i="87"/>
  <c r="C1326" i="87" s="1"/>
  <c r="G14" i="73"/>
  <c r="G19" i="73" s="1"/>
  <c r="B1454" i="87"/>
  <c r="C1454" i="87" s="1"/>
  <c r="B1461" i="87"/>
  <c r="C1461" i="87" s="1"/>
  <c r="B1332" i="87"/>
  <c r="C1332" i="87" s="1"/>
  <c r="E19" i="89"/>
  <c r="B2543" i="87"/>
  <c r="C2543" i="87" s="1"/>
  <c r="B1089" i="87"/>
  <c r="C1089" i="87" s="1"/>
  <c r="C16" i="73"/>
  <c r="C104" i="73" s="1"/>
  <c r="B7056" i="87" s="1"/>
  <c r="C7056" i="87" s="1"/>
  <c r="J132" i="73"/>
  <c r="B1392" i="87"/>
  <c r="C1392" i="87" s="1"/>
  <c r="G125" i="73"/>
  <c r="B1186" i="87"/>
  <c r="C1186" i="87" s="1"/>
  <c r="D126" i="73"/>
  <c r="B4388" i="87"/>
  <c r="C4388" i="87" s="1"/>
  <c r="F12" i="89"/>
  <c r="B2504" i="87"/>
  <c r="C2504" i="87" s="1"/>
  <c r="C19" i="89"/>
  <c r="B5986" i="87"/>
  <c r="C5986" i="87" s="1"/>
  <c r="J9" i="73"/>
  <c r="B6187" i="87"/>
  <c r="C6187" i="87" s="1"/>
  <c r="H109" i="73" l="1"/>
  <c r="B7161" i="87" s="1"/>
  <c r="C7161" i="87" s="1"/>
  <c r="D11" i="89"/>
  <c r="B2510" i="87"/>
  <c r="C2510" i="87" s="1"/>
  <c r="B7200" i="87"/>
  <c r="C7200" i="87" s="1"/>
  <c r="E11" i="89"/>
  <c r="J4" i="97"/>
  <c r="B6043" i="87" s="1"/>
  <c r="B5859" i="87"/>
  <c r="C5859" i="87" s="1"/>
  <c r="B5814" i="87"/>
  <c r="C5814" i="87" s="1"/>
  <c r="B5664" i="87"/>
  <c r="C5664" i="87" s="1"/>
  <c r="B5452" i="87"/>
  <c r="C5452" i="87" s="1"/>
  <c r="B7843" i="87"/>
  <c r="C7843" i="87" s="1"/>
  <c r="B5271" i="87"/>
  <c r="C5271" i="87" s="1"/>
  <c r="I36" i="97"/>
  <c r="B7282" i="87" s="1"/>
  <c r="C7282" i="87" s="1"/>
  <c r="B7280" i="87"/>
  <c r="C7280" i="87" s="1"/>
  <c r="G13" i="97"/>
  <c r="B82" i="87" s="1"/>
  <c r="C82" i="87" s="1"/>
  <c r="I97" i="73"/>
  <c r="B7171" i="87" s="1"/>
  <c r="C7171" i="87" s="1"/>
  <c r="B7169" i="87"/>
  <c r="C7169" i="87" s="1"/>
  <c r="J97" i="73"/>
  <c r="B7180" i="87"/>
  <c r="C7180" i="87" s="1"/>
  <c r="E97" i="73"/>
  <c r="B7091" i="87"/>
  <c r="C7091" i="87" s="1"/>
  <c r="L118" i="30"/>
  <c r="B1097" i="87" s="1"/>
  <c r="C1097" i="87" s="1"/>
  <c r="L119" i="30"/>
  <c r="B7324" i="87" s="1"/>
  <c r="C7324" i="87" s="1"/>
  <c r="B2501" i="87"/>
  <c r="C2501" i="87" s="1"/>
  <c r="C102" i="73"/>
  <c r="B7054" i="87" s="1"/>
  <c r="C7054" i="87" s="1"/>
  <c r="J20" i="97"/>
  <c r="B6061" i="87" s="1"/>
  <c r="J34" i="97"/>
  <c r="H20" i="97"/>
  <c r="B100" i="87" s="1"/>
  <c r="C100" i="87" s="1"/>
  <c r="H34" i="97"/>
  <c r="E11" i="97"/>
  <c r="E30" i="97"/>
  <c r="H11" i="97"/>
  <c r="H30" i="97"/>
  <c r="K11" i="97"/>
  <c r="K30" i="97"/>
  <c r="K97" i="73"/>
  <c r="L179" i="30"/>
  <c r="B1277" i="87" s="1"/>
  <c r="C1277" i="87" s="1"/>
  <c r="B3170" i="87"/>
  <c r="C3170" i="87" s="1"/>
  <c r="I4" i="97"/>
  <c r="B102" i="87" s="1"/>
  <c r="C102" i="87" s="1"/>
  <c r="B2549" i="87"/>
  <c r="C2549" i="87" s="1"/>
  <c r="G96" i="73"/>
  <c r="B7131" i="87" s="1"/>
  <c r="C7131" i="87" s="1"/>
  <c r="D12" i="89"/>
  <c r="D96" i="73"/>
  <c r="F9" i="73"/>
  <c r="F4" i="97" s="1"/>
  <c r="B61" i="87" s="1"/>
  <c r="F96" i="73"/>
  <c r="B2548" i="87"/>
  <c r="C2548" i="87" s="1"/>
  <c r="G95" i="73"/>
  <c r="B7130" i="87" s="1"/>
  <c r="C7130" i="87" s="1"/>
  <c r="H97" i="73"/>
  <c r="B7153" i="87" s="1"/>
  <c r="C7153" i="87" s="1"/>
  <c r="B3516" i="87"/>
  <c r="C3516" i="87" s="1"/>
  <c r="K102" i="73"/>
  <c r="B7204" i="87" s="1"/>
  <c r="C7204" i="87" s="1"/>
  <c r="D107" i="73"/>
  <c r="B7080" i="87" s="1"/>
  <c r="C7080" i="87" s="1"/>
  <c r="E19" i="73"/>
  <c r="E13" i="97" s="1"/>
  <c r="B51" i="87" s="1"/>
  <c r="E105" i="73"/>
  <c r="J109" i="73"/>
  <c r="B7191" i="87" s="1"/>
  <c r="C7191" i="87" s="1"/>
  <c r="F19" i="73"/>
  <c r="F13" i="97" s="1"/>
  <c r="B66" i="87" s="1"/>
  <c r="F104" i="73"/>
  <c r="B2552" i="87"/>
  <c r="C2552" i="87" s="1"/>
  <c r="G102" i="73"/>
  <c r="I11" i="73"/>
  <c r="B4072" i="87" s="1"/>
  <c r="C4072" i="87" s="1"/>
  <c r="F3" i="93"/>
  <c r="F5" i="93" s="1"/>
  <c r="D132" i="73"/>
  <c r="L215" i="30"/>
  <c r="B1333" i="87" s="1"/>
  <c r="C1333" i="87" s="1"/>
  <c r="G19" i="89"/>
  <c r="W19" i="89" s="1"/>
  <c r="C132" i="73"/>
  <c r="D9" i="73"/>
  <c r="F13" i="89"/>
  <c r="F22" i="89" s="1"/>
  <c r="F27" i="89" s="1"/>
  <c r="K7" i="89" s="1"/>
  <c r="K27" i="89" s="1"/>
  <c r="P7" i="89" s="1"/>
  <c r="P27" i="89" s="1"/>
  <c r="U7" i="89" s="1"/>
  <c r="U27" i="89" s="1"/>
  <c r="E12" i="89"/>
  <c r="G9" i="73"/>
  <c r="B2538" i="87"/>
  <c r="C2538" i="87" s="1"/>
  <c r="B2511" i="87"/>
  <c r="C2511" i="87" s="1"/>
  <c r="L310" i="30"/>
  <c r="B1505" i="87" s="1"/>
  <c r="C1505" i="87" s="1"/>
  <c r="B2497" i="87"/>
  <c r="C2497" i="87" s="1"/>
  <c r="C11" i="89"/>
  <c r="G9" i="89"/>
  <c r="W9" i="89" s="1"/>
  <c r="G26" i="89"/>
  <c r="W26" i="89" s="1"/>
  <c r="W24" i="89"/>
  <c r="B3515" i="87"/>
  <c r="C3515" i="87" s="1"/>
  <c r="K11" i="73"/>
  <c r="B4074" i="87" s="1"/>
  <c r="C4074" i="87" s="1"/>
  <c r="L127" i="73"/>
  <c r="B2498" i="87"/>
  <c r="C2498" i="87" s="1"/>
  <c r="C12" i="89"/>
  <c r="C9" i="73"/>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L156" i="30"/>
  <c r="B1233" i="87" s="1"/>
  <c r="C1233" i="87" s="1"/>
  <c r="B2556" i="87"/>
  <c r="C2556" i="87" s="1"/>
  <c r="D18" i="89"/>
  <c r="B2515" i="87"/>
  <c r="C2515" i="87" s="1"/>
  <c r="D19" i="73"/>
  <c r="B2542" i="87"/>
  <c r="C2542" i="87" s="1"/>
  <c r="E18" i="89"/>
  <c r="E21" i="89" s="1"/>
  <c r="L126" i="73"/>
  <c r="B2503" i="87"/>
  <c r="C2503" i="87" s="1"/>
  <c r="C18" i="89"/>
  <c r="C19" i="73"/>
  <c r="B3171" i="87"/>
  <c r="C3171" i="87" s="1"/>
  <c r="I81" i="73"/>
  <c r="I118" i="73" s="1"/>
  <c r="B7177" i="87" s="1"/>
  <c r="C7177" i="87" s="1"/>
  <c r="B5989" i="87"/>
  <c r="C5989" i="87" s="1"/>
  <c r="J11" i="73"/>
  <c r="B5991" i="87" s="1"/>
  <c r="C5991" i="87" s="1"/>
  <c r="J22" i="73"/>
  <c r="G132" i="73"/>
  <c r="L125" i="73"/>
  <c r="J30" i="97" l="1"/>
  <c r="C50" i="76"/>
  <c r="D13" i="89"/>
  <c r="G11" i="89"/>
  <c r="W11" i="89" s="1"/>
  <c r="E13" i="89"/>
  <c r="E22" i="89" s="1"/>
  <c r="E27" i="89" s="1"/>
  <c r="J7" i="89" s="1"/>
  <c r="J27" i="89" s="1"/>
  <c r="O7" i="89" s="1"/>
  <c r="O27" i="89" s="1"/>
  <c r="T7" i="89" s="1"/>
  <c r="T27" i="89" s="1"/>
  <c r="C13" i="97"/>
  <c r="C34" i="97" s="1"/>
  <c r="I110" i="73"/>
  <c r="B7173" i="87" s="1"/>
  <c r="C7173" i="87" s="1"/>
  <c r="J11" i="97"/>
  <c r="J12" i="97" s="1"/>
  <c r="C4" i="97"/>
  <c r="B13" i="87" s="1"/>
  <c r="G34" i="97"/>
  <c r="B7262" i="87" s="1"/>
  <c r="C7262" i="87" s="1"/>
  <c r="G20" i="97"/>
  <c r="B90" i="87" s="1"/>
  <c r="C90" i="87" s="1"/>
  <c r="E99" i="73"/>
  <c r="B7094" i="87" s="1"/>
  <c r="C7094" i="87" s="1"/>
  <c r="B7092" i="87"/>
  <c r="C7092" i="87" s="1"/>
  <c r="J99" i="73"/>
  <c r="B7184" i="87" s="1"/>
  <c r="C7184" i="87" s="1"/>
  <c r="B7182" i="87"/>
  <c r="C7182" i="87" s="1"/>
  <c r="J110" i="73"/>
  <c r="B7192" i="87" s="1"/>
  <c r="C7192" i="87" s="1"/>
  <c r="I99" i="73"/>
  <c r="B7172" i="87" s="1"/>
  <c r="C7172" i="87" s="1"/>
  <c r="F97" i="73"/>
  <c r="B7110" i="87"/>
  <c r="C7110" i="87" s="1"/>
  <c r="D97" i="73"/>
  <c r="D110" i="73" s="1"/>
  <c r="B7083" i="87" s="1"/>
  <c r="C7083" i="87" s="1"/>
  <c r="B7071" i="87"/>
  <c r="C7071" i="87" s="1"/>
  <c r="J32" i="97"/>
  <c r="J33" i="97" s="1"/>
  <c r="B7285" i="87"/>
  <c r="C7285" i="87" s="1"/>
  <c r="H32" i="97"/>
  <c r="B7267" i="87"/>
  <c r="C7267" i="87" s="1"/>
  <c r="E32" i="97"/>
  <c r="B7240" i="87"/>
  <c r="C7240" i="87" s="1"/>
  <c r="K99" i="73"/>
  <c r="B7201" i="87"/>
  <c r="C7201" i="87" s="1"/>
  <c r="K32" i="97"/>
  <c r="B7294" i="87"/>
  <c r="C7294" i="87" s="1"/>
  <c r="G107" i="73"/>
  <c r="B7141" i="87" s="1"/>
  <c r="C7141" i="87" s="1"/>
  <c r="B7136" i="87"/>
  <c r="C7136" i="87" s="1"/>
  <c r="F107" i="73"/>
  <c r="B7119" i="87" s="1"/>
  <c r="C7119" i="87" s="1"/>
  <c r="B7116" i="87"/>
  <c r="C7116" i="87" s="1"/>
  <c r="E107" i="73"/>
  <c r="B7098" i="87" s="1"/>
  <c r="C7098" i="87" s="1"/>
  <c r="B7096" i="87"/>
  <c r="C7096" i="87" s="1"/>
  <c r="H36" i="97"/>
  <c r="B7273" i="87" s="1"/>
  <c r="C7273" i="87" s="1"/>
  <c r="B7271" i="87"/>
  <c r="C7271" i="87" s="1"/>
  <c r="J36" i="97"/>
  <c r="B7291" i="87" s="1"/>
  <c r="C7291" i="87" s="1"/>
  <c r="B7289" i="87"/>
  <c r="C7289" i="87" s="1"/>
  <c r="G36" i="97"/>
  <c r="B7264" i="87" s="1"/>
  <c r="C7264" i="87" s="1"/>
  <c r="K12" i="97"/>
  <c r="B128" i="87" s="1"/>
  <c r="B127" i="87"/>
  <c r="H12" i="97"/>
  <c r="B95" i="87" s="1"/>
  <c r="B94" i="87"/>
  <c r="E12" i="97"/>
  <c r="B50" i="87" s="1"/>
  <c r="B49" i="87"/>
  <c r="F20" i="97"/>
  <c r="B76" i="87" s="1"/>
  <c r="F34" i="97"/>
  <c r="E20" i="97"/>
  <c r="E34" i="97"/>
  <c r="I11" i="97"/>
  <c r="I30" i="97"/>
  <c r="F11" i="97"/>
  <c r="F30" i="97"/>
  <c r="G18" i="89"/>
  <c r="W18" i="89" s="1"/>
  <c r="B2539" i="87"/>
  <c r="C2539" i="87" s="1"/>
  <c r="F11" i="73"/>
  <c r="B4069" i="87" s="1"/>
  <c r="C4069" i="87" s="1"/>
  <c r="E21" i="73"/>
  <c r="B4082" i="87" s="1"/>
  <c r="C4082" i="87" s="1"/>
  <c r="E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E4" i="93"/>
  <c r="D109" i="73"/>
  <c r="B7082" i="87" s="1"/>
  <c r="C7082" i="87" s="1"/>
  <c r="F22" i="73"/>
  <c r="F81" i="73" s="1"/>
  <c r="F118" i="73" s="1"/>
  <c r="B7126" i="87" s="1"/>
  <c r="C7126" i="87" s="1"/>
  <c r="C51" i="87"/>
  <c r="E22" i="73"/>
  <c r="C66" i="87"/>
  <c r="B2544" i="87"/>
  <c r="C2544" i="87" s="1"/>
  <c r="B2579" i="87"/>
  <c r="C2579" i="87" s="1"/>
  <c r="D22" i="73"/>
  <c r="B2518" i="87" s="1"/>
  <c r="C2518" i="87" s="1"/>
  <c r="D13" i="97"/>
  <c r="B35" i="87" s="1"/>
  <c r="B2512" i="87"/>
  <c r="C2512" i="87" s="1"/>
  <c r="L132" i="73"/>
  <c r="D3" i="93"/>
  <c r="C13" i="89"/>
  <c r="B2550" i="87"/>
  <c r="C2550" i="87" s="1"/>
  <c r="G11" i="73"/>
  <c r="B4070" i="87" s="1"/>
  <c r="C4070" i="87" s="1"/>
  <c r="C92" i="87"/>
  <c r="C11" i="73"/>
  <c r="B4066" i="87" s="1"/>
  <c r="C4066" i="87" s="1"/>
  <c r="C3" i="93"/>
  <c r="B2499" i="87"/>
  <c r="C2499" i="87" s="1"/>
  <c r="C125" i="87"/>
  <c r="C61" i="87"/>
  <c r="B2606" i="87"/>
  <c r="C2606" i="87" s="1"/>
  <c r="H81" i="73"/>
  <c r="C47" i="87"/>
  <c r="G12" i="89"/>
  <c r="W12" i="89" s="1"/>
  <c r="D21" i="89"/>
  <c r="C6057" i="87"/>
  <c r="C6061" i="87"/>
  <c r="D21" i="73"/>
  <c r="B4081" i="87" s="1"/>
  <c r="C4081" i="87" s="1"/>
  <c r="D4" i="93"/>
  <c r="B2517" i="87"/>
  <c r="C2517" i="87" s="1"/>
  <c r="C21" i="89"/>
  <c r="C4" i="93"/>
  <c r="C21" i="73"/>
  <c r="B4080" i="87" s="1"/>
  <c r="C4080" i="87" s="1"/>
  <c r="B2505" i="87"/>
  <c r="C2505" i="87" s="1"/>
  <c r="C22" i="73"/>
  <c r="B3267" i="87"/>
  <c r="C3267" i="87" s="1"/>
  <c r="F6" i="93"/>
  <c r="B5996" i="87"/>
  <c r="C5996" i="87" s="1"/>
  <c r="J81" i="73"/>
  <c r="C6043" i="87"/>
  <c r="F50" i="76" l="1"/>
  <c r="B6055" i="87"/>
  <c r="C6055" i="87" s="1"/>
  <c r="C11" i="97"/>
  <c r="B16" i="87" s="1"/>
  <c r="C20" i="97"/>
  <c r="B28" i="87" s="1"/>
  <c r="C28" i="87" s="1"/>
  <c r="G13" i="89"/>
  <c r="W13" i="89" s="1"/>
  <c r="D22" i="89"/>
  <c r="D27" i="89" s="1"/>
  <c r="I7" i="89" s="1"/>
  <c r="I27" i="89" s="1"/>
  <c r="N7" i="89" s="1"/>
  <c r="N27" i="89" s="1"/>
  <c r="S7" i="89" s="1"/>
  <c r="S27" i="89" s="1"/>
  <c r="F110" i="73"/>
  <c r="B7122" i="87" s="1"/>
  <c r="C7122" i="87" s="1"/>
  <c r="B7287" i="87"/>
  <c r="C7287" i="87" s="1"/>
  <c r="B18" i="87"/>
  <c r="C18" i="87" s="1"/>
  <c r="H21" i="97"/>
  <c r="B7203" i="87"/>
  <c r="C7203" i="87" s="1"/>
  <c r="C30" i="97"/>
  <c r="B7222" i="87" s="1"/>
  <c r="C7222" i="87" s="1"/>
  <c r="G99" i="73"/>
  <c r="B7134" i="87" s="1"/>
  <c r="C7134" i="87" s="1"/>
  <c r="B7132" i="87"/>
  <c r="C7132" i="87" s="1"/>
  <c r="F32" i="97"/>
  <c r="B7249" i="87"/>
  <c r="C7249" i="87" s="1"/>
  <c r="I32" i="97"/>
  <c r="B7276" i="87"/>
  <c r="C7276" i="87" s="1"/>
  <c r="E33" i="97"/>
  <c r="B7243" i="87" s="1"/>
  <c r="C7243" i="87" s="1"/>
  <c r="B7242" i="87"/>
  <c r="C7242" i="87" s="1"/>
  <c r="H33" i="97"/>
  <c r="B7270" i="87" s="1"/>
  <c r="C7270" i="87" s="1"/>
  <c r="B7269" i="87"/>
  <c r="C7269" i="87" s="1"/>
  <c r="D99" i="73"/>
  <c r="B7074" i="87" s="1"/>
  <c r="C7074" i="87" s="1"/>
  <c r="B7072" i="87"/>
  <c r="C7072" i="87" s="1"/>
  <c r="F99" i="73"/>
  <c r="B7113" i="87" s="1"/>
  <c r="C7113" i="87" s="1"/>
  <c r="B7111" i="87"/>
  <c r="C7111" i="87" s="1"/>
  <c r="K33" i="97"/>
  <c r="B7297" i="87" s="1"/>
  <c r="C7297" i="87" s="1"/>
  <c r="B7296" i="87"/>
  <c r="C7296" i="87" s="1"/>
  <c r="E110" i="73"/>
  <c r="B7101" i="87" s="1"/>
  <c r="C7101" i="87" s="1"/>
  <c r="G109" i="73"/>
  <c r="B7143" i="87" s="1"/>
  <c r="C7143" i="87" s="1"/>
  <c r="H37" i="97"/>
  <c r="B7274" i="87" s="1"/>
  <c r="C7274"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C39" i="76" s="1"/>
  <c r="B59" i="87"/>
  <c r="C59" i="87" s="1"/>
  <c r="B6056" i="87"/>
  <c r="J21" i="97"/>
  <c r="C44" i="76" s="1"/>
  <c r="E5" i="93"/>
  <c r="D20" i="97"/>
  <c r="B45" i="87" s="1"/>
  <c r="C45" i="87" s="1"/>
  <c r="D34" i="97"/>
  <c r="G11" i="97"/>
  <c r="G30" i="97"/>
  <c r="D11" i="97"/>
  <c r="D30" i="97"/>
  <c r="G21" i="89"/>
  <c r="W21" i="89" s="1"/>
  <c r="B2580" i="87"/>
  <c r="C2580" i="87" s="1"/>
  <c r="E81" i="73"/>
  <c r="E118" i="73" s="1"/>
  <c r="B7105" i="87" s="1"/>
  <c r="C7105" i="87" s="1"/>
  <c r="B2545" i="87"/>
  <c r="C2545" i="87" s="1"/>
  <c r="D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G3" i="93"/>
  <c r="C78" i="87"/>
  <c r="C128" i="87"/>
  <c r="C127" i="87"/>
  <c r="C13" i="87"/>
  <c r="C94" i="87"/>
  <c r="C49" i="87"/>
  <c r="C50" i="87"/>
  <c r="C22" i="89"/>
  <c r="C27" i="89" s="1"/>
  <c r="H7" i="89" s="1"/>
  <c r="C35" i="87"/>
  <c r="B1616" i="87"/>
  <c r="C1616" i="87" s="1"/>
  <c r="E6" i="93"/>
  <c r="C76" i="87"/>
  <c r="B2506" i="87"/>
  <c r="C2506" i="87" s="1"/>
  <c r="C81" i="73"/>
  <c r="C118" i="73" s="1"/>
  <c r="B7066" i="87" s="1"/>
  <c r="C7066" i="87" s="1"/>
  <c r="C5" i="93"/>
  <c r="G4" i="93"/>
  <c r="F44" i="76" l="1"/>
  <c r="F39" i="76"/>
  <c r="B101" i="87"/>
  <c r="C42" i="76"/>
  <c r="C12" i="97"/>
  <c r="B17" i="87" s="1"/>
  <c r="C17" i="87" s="1"/>
  <c r="L7" i="89"/>
  <c r="X7" i="89" s="1"/>
  <c r="I21" i="97"/>
  <c r="D32" i="97"/>
  <c r="B7231" i="87"/>
  <c r="C7231" i="87" s="1"/>
  <c r="G32" i="97"/>
  <c r="B7258" i="87"/>
  <c r="C7258" i="87" s="1"/>
  <c r="I33" i="97"/>
  <c r="B7278" i="87"/>
  <c r="C7278" i="87" s="1"/>
  <c r="F33" i="97"/>
  <c r="B7252" i="87" s="1"/>
  <c r="C7252" i="87" s="1"/>
  <c r="B7251" i="87"/>
  <c r="C7251" i="87" s="1"/>
  <c r="B1602" i="87"/>
  <c r="C1602" i="87" s="1"/>
  <c r="D36" i="97"/>
  <c r="B7237" i="87" s="1"/>
  <c r="C7237" i="87" s="1"/>
  <c r="B7235" i="87"/>
  <c r="C7235" i="87" s="1"/>
  <c r="E37" i="97"/>
  <c r="B7247" i="87" s="1"/>
  <c r="C7247" i="87" s="1"/>
  <c r="B7246" i="87"/>
  <c r="C7246" i="87" s="1"/>
  <c r="F21" i="97"/>
  <c r="B6062" i="87"/>
  <c r="D12" i="97"/>
  <c r="B34" i="87" s="1"/>
  <c r="C34" i="87" s="1"/>
  <c r="B33" i="87"/>
  <c r="C33" i="87" s="1"/>
  <c r="G12" i="97"/>
  <c r="B81" i="87" s="1"/>
  <c r="C81" i="87" s="1"/>
  <c r="B80" i="87"/>
  <c r="C80" i="87" s="1"/>
  <c r="B60" i="87"/>
  <c r="C60" i="87" s="1"/>
  <c r="G22" i="89"/>
  <c r="G27" i="89" s="1"/>
  <c r="W27" i="89" s="1"/>
  <c r="D6" i="93"/>
  <c r="B1588" i="87"/>
  <c r="C1588" i="87" s="1"/>
  <c r="G5" i="93"/>
  <c r="C95" i="87"/>
  <c r="C16" i="87"/>
  <c r="H27" i="89"/>
  <c r="M7" i="89" s="1"/>
  <c r="B1574" i="87"/>
  <c r="C1574" i="87" s="1"/>
  <c r="C6" i="93"/>
  <c r="C6056" i="87"/>
  <c r="F42" i="76" l="1"/>
  <c r="G21" i="97"/>
  <c r="C41" i="76" s="1"/>
  <c r="B112" i="87"/>
  <c r="C112" i="87" s="1"/>
  <c r="C43" i="76"/>
  <c r="F43" i="76" s="1"/>
  <c r="B77" i="87"/>
  <c r="C77" i="87" s="1"/>
  <c r="C40" i="76"/>
  <c r="C21" i="97"/>
  <c r="F37" i="97"/>
  <c r="B7256" i="87" s="1"/>
  <c r="C7256" i="87" s="1"/>
  <c r="I37" i="97"/>
  <c r="B7283" i="87" s="1"/>
  <c r="C7283" i="87" s="1"/>
  <c r="B7279" i="87"/>
  <c r="C7279" i="87" s="1"/>
  <c r="G33" i="97"/>
  <c r="B7260" i="87"/>
  <c r="C7260" i="87" s="1"/>
  <c r="D33" i="97"/>
  <c r="B7234" i="87" s="1"/>
  <c r="C7234" i="87" s="1"/>
  <c r="B7233" i="87"/>
  <c r="C7233" i="87" s="1"/>
  <c r="D21" i="97"/>
  <c r="G6" i="93"/>
  <c r="C8" i="76" s="1"/>
  <c r="W22" i="89"/>
  <c r="C97" i="73"/>
  <c r="C101" i="73"/>
  <c r="L27" i="89"/>
  <c r="X27" i="89" s="1"/>
  <c r="C101" i="87"/>
  <c r="Q7" i="89"/>
  <c r="M27" i="89"/>
  <c r="R7" i="89" s="1"/>
  <c r="C6062" i="87"/>
  <c r="F40" i="76" l="1"/>
  <c r="F41" i="76"/>
  <c r="B91" i="87"/>
  <c r="C91" i="87" s="1"/>
  <c r="D7" i="93"/>
  <c r="P3" i="70" s="1"/>
  <c r="C9" i="76"/>
  <c r="B46" i="87"/>
  <c r="C46" i="87" s="1"/>
  <c r="C38" i="76"/>
  <c r="C37" i="76"/>
  <c r="B29" i="87"/>
  <c r="C29" i="87" s="1"/>
  <c r="D37" i="97"/>
  <c r="B7238" i="87" s="1"/>
  <c r="C7238" i="87" s="1"/>
  <c r="C32" i="97"/>
  <c r="B7050" i="87"/>
  <c r="C7050" i="87" s="1"/>
  <c r="G37" i="97"/>
  <c r="B7265" i="87" s="1"/>
  <c r="C7265" i="87" s="1"/>
  <c r="B7261" i="87"/>
  <c r="C7261" i="87" s="1"/>
  <c r="C107" i="73"/>
  <c r="B7059" i="87" s="1"/>
  <c r="C7059" i="87" s="1"/>
  <c r="B7053" i="87"/>
  <c r="C7053" i="87" s="1"/>
  <c r="C99" i="73"/>
  <c r="B7052" i="87" s="1"/>
  <c r="C7052" i="87" s="1"/>
  <c r="R27" i="89"/>
  <c r="V7" i="89"/>
  <c r="Q27" i="89"/>
  <c r="Y27" i="89" s="1"/>
  <c r="Y7" i="89"/>
  <c r="F38" i="76" l="1"/>
  <c r="F37" i="76"/>
  <c r="C33" i="97"/>
  <c r="B7225" i="87" s="1"/>
  <c r="C7225" i="87" s="1"/>
  <c r="B7224" i="87"/>
  <c r="C7224" i="87" s="1"/>
  <c r="C36" i="97"/>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C52" i="76" s="1"/>
  <c r="F52" i="76" s="1"/>
  <c r="B3622" i="87"/>
  <c r="C3622" i="87" s="1"/>
  <c r="K107" i="73" l="1"/>
  <c r="B7208" i="87" s="1"/>
  <c r="C7208" i="87" s="1"/>
  <c r="B7205" i="87"/>
  <c r="C7205" i="87" s="1"/>
  <c r="B3519" i="87"/>
  <c r="C3519" i="87" s="1"/>
  <c r="K13" i="97"/>
  <c r="B129" i="87" s="1"/>
  <c r="C129" i="87" s="1"/>
  <c r="K22" i="73"/>
  <c r="K81" i="73" s="1"/>
  <c r="K21" i="73"/>
  <c r="B4088" i="87" s="1"/>
  <c r="C4088" i="87" s="1"/>
  <c r="K109" i="73" l="1"/>
  <c r="B7210" i="87" s="1"/>
  <c r="C7210" i="87" s="1"/>
  <c r="K110" i="73"/>
  <c r="K20" i="97"/>
  <c r="K34" i="97"/>
  <c r="B3520" i="87"/>
  <c r="C3520" i="87" s="1"/>
  <c r="B3535" i="87"/>
  <c r="C3535" i="87" s="1"/>
  <c r="K118" i="73"/>
  <c r="B7215" i="87" s="1"/>
  <c r="C7215" i="87" s="1"/>
  <c r="B7211" i="87" l="1"/>
  <c r="C7211" i="87" s="1"/>
  <c r="K36" i="97"/>
  <c r="B7298" i="87"/>
  <c r="C7298" i="87" s="1"/>
  <c r="K21" i="97"/>
  <c r="C45" i="76" s="1"/>
  <c r="F45" i="76" s="1"/>
  <c r="F55" i="76" s="1"/>
  <c r="C6" i="76" s="1"/>
  <c r="B136" i="87"/>
  <c r="C136" i="87" s="1"/>
  <c r="K37" i="97" l="1"/>
  <c r="B7301" i="87" s="1"/>
  <c r="C7301" i="87" s="1"/>
  <c r="B7300" i="87"/>
  <c r="C7300" i="87" s="1"/>
  <c r="B137" i="87"/>
  <c r="C137" i="87" s="1"/>
  <c r="B6983" i="87"/>
  <c r="C6983" i="87" s="1"/>
  <c r="I2" i="101" l="1" a="1"/>
  <c r="I2" i="10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B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B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B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B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B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B174" authorId="0" shapeId="0" xr:uid="{DE5755B8-B7E4-4295-8D7B-E775C645F0AB}">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344"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B424" authorId="0" shapeId="0" xr:uid="{03E33F16-8CDB-441E-8928-C23B8596A665}">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450" authorId="0" shapeId="0" xr:uid="{34AC0335-00AB-4578-84DF-1BD0D79B94C6}">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<sst xmlns="http://schemas.openxmlformats.org/spreadsheetml/2006/main" count="6705" uniqueCount="3329">
  <si>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</si>
  <si>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</si>
  <si>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</si>
  <si>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</si>
  <si>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</si>
  <si>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</si>
  <si>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</si>
  <si>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</si>
  <si>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</si>
  <si>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</si>
  <si>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</si>
  <si>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</si>
  <si>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</si>
  <si>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</si>
  <si>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</si>
  <si>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</si>
  <si>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</si>
  <si>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</si>
  <si>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</si>
  <si>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</si>
  <si>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</si>
  <si>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</si>
  <si>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</si>
  <si>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</si>
  <si>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</si>
  <si>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</si>
  <si>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</si>
  <si>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</si>
  <si>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</si>
  <si>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</si>
  <si>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</si>
  <si>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</si>
  <si>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</si>
  <si>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</si>
  <si>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</si>
  <si>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</si>
  <si>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</si>
  <si>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</si>
  <si>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</si>
  <si>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</si>
  <si>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</si>
  <si>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</si>
  <si>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</si>
  <si>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</si>
  <si>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</si>
  <si>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</si>
  <si>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</si>
  <si>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</si>
  <si>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</si>
  <si>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</si>
  <si>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</si>
  <si>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</si>
  <si>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</si>
  <si>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</si>
  <si>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</si>
  <si>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</si>
  <si>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</si>
  <si>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</si>
  <si>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</si>
  <si>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</si>
  <si>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</si>
  <si>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</si>
  <si>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</si>
  <si>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</si>
  <si>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</si>
  <si>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</si>
  <si>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</si>
  <si>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</si>
  <si>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</si>
  <si>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</si>
  <si>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</si>
  <si>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</si>
  <si>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</si>
  <si>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</si>
  <si>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</si>
  <si>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</si>
  <si>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</si>
  <si>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</si>
  <si>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</si>
  <si>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</si>
  <si>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</si>
  <si>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</si>
  <si>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</si>
  <si>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</si>
  <si>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</si>
  <si>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</si>
  <si>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</si>
  <si>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</si>
  <si>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</si>
  <si>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</si>
  <si>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</si>
  <si>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</si>
  <si>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</si>
  <si>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</si>
  <si>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</si>
  <si>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</si>
  <si>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</si>
  <si>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</si>
  <si>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</si>
  <si>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</si>
  <si>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</si>
  <si>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</si>
  <si>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</si>
  <si>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</si>
  <si>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</si>
  <si>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</si>
  <si>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</si>
  <si>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</si>
  <si>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</si>
  <si>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</si>
  <si>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</si>
  <si>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</si>
  <si>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</si>
  <si>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</si>
  <si>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</si>
  <si>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</si>
  <si>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</si>
  <si>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</si>
  <si>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</si>
  <si>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</si>
  <si>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</si>
  <si>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</si>
  <si>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</si>
  <si>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</si>
  <si>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</si>
  <si>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</si>
  <si>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</si>
  <si>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</si>
  <si>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</si>
  <si>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</si>
  <si>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</si>
  <si>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</si>
  <si>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</si>
  <si>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</si>
  <si>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</si>
  <si>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</si>
  <si>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</si>
  <si>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</si>
  <si>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</si>
  <si>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</si>
  <si>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</si>
  <si>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</si>
  <si>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</si>
  <si>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</si>
  <si>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</si>
  <si>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</si>
  <si>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</si>
  <si>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</si>
  <si>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</si>
  <si>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</si>
  <si>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</si>
  <si>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</si>
  <si>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</si>
  <si>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</si>
  <si>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</si>
  <si>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</si>
  <si>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</si>
  <si>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</si>
  <si>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</si>
  <si>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</si>
  <si>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</si>
  <si>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</si>
  <si>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</si>
  <si>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</si>
  <si>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</si>
  <si>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</si>
  <si>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</si>
  <si>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</si>
  <si>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</si>
  <si>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</si>
  <si>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</si>
  <si>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</si>
  <si>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</si>
  <si>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</si>
  <si>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</si>
  <si>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</si>
  <si>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</si>
  <si>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</si>
  <si>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</si>
  <si>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</si>
  <si>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</si>
  <si>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</si>
  <si>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</si>
  <si>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</si>
  <si>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</si>
  <si>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</si>
  <si>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</si>
  <si>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</si>
  <si>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</si>
  <si>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</si>
  <si>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</si>
  <si>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</si>
  <si>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</si>
  <si>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</si>
  <si>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</si>
  <si>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</si>
  <si>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</si>
  <si>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</si>
  <si>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</si>
  <si>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</si>
  <si>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</si>
  <si>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</si>
  <si>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</si>
  <si>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</si>
  <si>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</si>
  <si>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</si>
  <si>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</si>
  <si>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</si>
  <si>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</si>
  <si>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</si>
  <si>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</si>
  <si>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</si>
  <si>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</si>
  <si>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</si>
  <si>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</si>
  <si>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</si>
  <si>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</si>
  <si>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</si>
  <si>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</si>
  <si>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</si>
  <si>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</si>
  <si>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</si>
  <si>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</si>
  <si>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</si>
  <si>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</si>
  <si>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</si>
  <si>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</si>
  <si>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</si>
  <si>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</si>
  <si>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</si>
  <si>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</si>
  <si>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</si>
  <si>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</si>
  <si>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</si>
  <si>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</si>
  <si>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</si>
  <si>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</si>
  <si>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</si>
  <si>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</si>
  <si>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</si>
  <si>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</si>
  <si>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</si>
  <si>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</si>
  <si>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</si>
  <si>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</si>
  <si>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</si>
  <si>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</si>
  <si>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</si>
  <si>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</si>
  <si>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</si>
  <si>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</si>
  <si>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</si>
  <si>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</si>
  <si>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</si>
  <si>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</si>
  <si>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</si>
  <si>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</si>
  <si>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</si>
  <si>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</si>
  <si>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</si>
  <si>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</si>
  <si>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</si>
  <si>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</si>
  <si>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</si>
  <si>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</si>
  <si>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</si>
  <si>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</si>
  <si>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</si>
  <si>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</si>
  <si>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</si>
  <si>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</si>
  <si>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</si>
  <si>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</si>
  <si>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</si>
  <si>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</si>
  <si>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</si>
  <si>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</si>
  <si>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</si>
  <si>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</si>
  <si>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</si>
  <si>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</si>
  <si>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</si>
  <si>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</si>
  <si>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</si>
  <si>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</si>
  <si>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</si>
  <si>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</si>
  <si>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</si>
  <si>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</si>
  <si>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</si>
  <si>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</si>
  <si>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</si>
  <si>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</si>
  <si>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</si>
  <si>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</si>
  <si>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</si>
  <si>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</si>
  <si>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</si>
  <si>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</si>
  <si>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</si>
  <si>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</si>
  <si>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</si>
  <si>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</si>
  <si>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</si>
  <si>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</si>
  <si>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</si>
  <si>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</si>
  <si>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</si>
  <si>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</si>
  <si>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</si>
  <si>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</si>
  <si>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</si>
  <si>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</si>
  <si>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</si>
  <si>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</si>
  <si>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</si>
  <si>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</si>
  <si>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</si>
  <si>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</si>
  <si>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</si>
  <si>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</si>
  <si>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</si>
  <si>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</si>
  <si>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</si>
  <si>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</si>
  <si>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</si>
  <si>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</si>
  <si>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</si>
  <si>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</si>
  <si>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</si>
  <si>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</si>
  <si>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</si>
  <si>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</si>
  <si>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</si>
  <si>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</si>
  <si>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</si>
  <si>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</si>
  <si>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</si>
  <si>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</si>
  <si>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</si>
  <si>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</si>
  <si>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</si>
  <si>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</si>
  <si>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</si>
  <si>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</si>
  <si>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</si>
  <si>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</si>
  <si>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</si>
  <si>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</si>
  <si>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</si>
  <si>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</si>
  <si>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</si>
  <si>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</si>
  <si>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</si>
  <si>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</si>
  <si>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</si>
  <si>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</si>
  <si>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</si>
  <si>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</si>
  <si>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</si>
  <si>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</si>
  <si>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</si>
  <si>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</si>
  <si>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</si>
  <si>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</si>
  <si>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</si>
  <si>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</si>
  <si>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</si>
  <si>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</si>
  <si>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</si>
  <si>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</si>
  <si>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</si>
  <si>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</si>
  <si>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</si>
  <si>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</si>
  <si>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</si>
  <si>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</si>
  <si>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</si>
  <si>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</si>
  <si>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</si>
  <si>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</si>
  <si>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</si>
  <si>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</si>
  <si>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</si>
  <si>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</si>
  <si>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</si>
  <si>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</si>
  <si>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</si>
  <si>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</si>
  <si>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</si>
  <si>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</si>
  <si>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</si>
  <si>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</si>
  <si>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</si>
  <si>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</si>
  <si>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</si>
  <si>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</si>
  <si>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</si>
  <si>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</si>
  <si>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</si>
  <si>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</si>
  <si>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</si>
  <si>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</si>
  <si>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</si>
  <si>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</si>
  <si>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</si>
  <si>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</si>
  <si>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</si>
  <si>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</si>
  <si>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</si>
  <si>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</si>
  <si>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</si>
  <si>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</si>
  <si>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</si>
  <si>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</si>
  <si>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</si>
  <si>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</si>
  <si>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</si>
  <si>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</si>
  <si>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</si>
  <si>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</si>
  <si>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</si>
  <si>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</si>
  <si>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</si>
  <si>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</si>
  <si>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</si>
  <si>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</si>
  <si>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</si>
  <si>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</si>
  <si>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</si>
  <si>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</si>
  <si>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</si>
  <si>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</si>
  <si>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</si>
  <si>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</si>
  <si>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</si>
  <si>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</si>
  <si>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</si>
  <si>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</si>
  <si>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</si>
  <si>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</si>
  <si>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</si>
  <si>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</si>
  <si>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</si>
  <si>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</si>
  <si>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</si>
  <si>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</si>
  <si>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</si>
  <si>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</si>
  <si>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</si>
  <si>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</si>
  <si>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</si>
  <si>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</si>
  <si>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</si>
  <si>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</si>
  <si>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</si>
  <si>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</si>
  <si>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</si>
  <si>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</si>
  <si>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</si>
  <si>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</si>
  <si>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</si>
  <si>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</si>
  <si>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</si>
  <si>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</si>
  <si>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</si>
  <si>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</si>
  <si>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</si>
  <si>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</si>
  <si>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</si>
  <si>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</si>
  <si>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</si>
  <si>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</si>
  <si>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</si>
  <si>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</si>
  <si>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</si>
  <si>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</si>
  <si>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</si>
  <si>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</si>
  <si>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</si>
  <si>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</si>
  <si>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</si>
  <si>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</si>
  <si>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</si>
  <si>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</si>
  <si>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</si>
  <si>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</si>
  <si>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</si>
  <si>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</si>
  <si>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</si>
  <si>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</si>
  <si>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</si>
  <si>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</si>
  <si>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</si>
  <si>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</si>
  <si>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</si>
  <si>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</si>
  <si>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</si>
  <si>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</si>
  <si>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</si>
  <si>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</si>
  <si>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</si>
  <si>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</si>
  <si>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</si>
  <si>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</si>
  <si>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</si>
  <si>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</si>
  <si>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</si>
  <si>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</si>
  <si>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</si>
  <si>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</si>
  <si>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</si>
  <si>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</si>
  <si>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</si>
  <si>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</si>
  <si>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</si>
  <si>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</si>
  <si>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</si>
  <si>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</si>
  <si>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</si>
  <si>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</si>
  <si>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</si>
  <si>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</si>
  <si>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</si>
  <si>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</si>
  <si>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</si>
  <si>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</si>
  <si>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</si>
  <si>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</si>
  <si>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</si>
  <si>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</si>
  <si>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</si>
  <si>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</si>
  <si>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</si>
  <si>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</si>
  <si>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</si>
  <si>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</si>
  <si>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</si>
  <si>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</si>
  <si>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</si>
  <si>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</si>
  <si>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</si>
  <si>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</si>
  <si>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</si>
  <si>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</si>
  <si>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</si>
  <si>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</si>
  <si>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</si>
  <si>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</si>
  <si>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</si>
  <si>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</si>
  <si>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</si>
  <si>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</si>
  <si>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</si>
  <si>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</si>
  <si>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</si>
  <si>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</si>
  <si>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</si>
  <si>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</si>
  <si>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</si>
  <si>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</si>
  <si>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</si>
  <si>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</si>
  <si>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</si>
  <si>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</si>
  <si>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</si>
  <si>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</si>
  <si>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</si>
  <si>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</si>
  <si>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</si>
  <si>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</si>
  <si>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</si>
  <si>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</si>
  <si>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</si>
  <si>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</si>
  <si>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</si>
  <si>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</si>
  <si>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</si>
  <si>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</si>
  <si>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</si>
  <si>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</si>
  <si>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</si>
  <si>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</si>
  <si>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</si>
  <si>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</si>
  <si>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</si>
  <si>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</si>
  <si>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</si>
  <si>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</si>
  <si>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</si>
  <si>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</si>
  <si>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</si>
  <si>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</si>
  <si>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</si>
  <si>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</si>
  <si>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</si>
  <si>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</si>
  <si>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</si>
  <si>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</si>
  <si>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</si>
  <si>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</si>
  <si>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</si>
  <si>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</si>
  <si>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</si>
  <si>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</si>
  <si>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</si>
  <si>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</si>
  <si>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</si>
  <si>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</si>
  <si>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</si>
  <si>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</si>
  <si>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</si>
  <si>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</si>
  <si>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</si>
  <si>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</si>
  <si>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</si>
  <si>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</si>
  <si>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</si>
  <si>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</si>
  <si>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</si>
  <si>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</si>
  <si>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</si>
  <si>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</si>
  <si>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</si>
  <si>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</si>
  <si>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</si>
  <si>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</si>
  <si>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</si>
  <si>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</si>
  <si>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</si>
  <si>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</si>
  <si>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</si>
  <si>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</si>
  <si>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</si>
  <si>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</si>
  <si>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</si>
  <si>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</si>
  <si>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</si>
  <si>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</si>
  <si>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</si>
  <si>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</si>
  <si>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</si>
  <si>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</si>
  <si>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</si>
  <si>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</si>
  <si>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</si>
  <si>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</si>
  <si>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</si>
  <si>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</si>
  <si>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</si>
  <si>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</si>
  <si>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</si>
  <si>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</si>
  <si>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</si>
  <si>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</si>
  <si>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</si>
  <si>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</si>
  <si>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</si>
  <si>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</si>
  <si>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</si>
  <si>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</si>
  <si>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</si>
  <si>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</si>
  <si>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</si>
  <si>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</si>
  <si>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</si>
  <si>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</si>
  <si>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</si>
  <si>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</si>
  <si>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</si>
  <si>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</si>
  <si>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</si>
  <si>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</si>
  <si>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</si>
  <si>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</si>
  <si>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</si>
  <si>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</si>
  <si>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</si>
  <si>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</si>
  <si>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</si>
  <si>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</si>
  <si>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</si>
  <si>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</si>
  <si>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</si>
  <si>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</si>
  <si>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</si>
  <si>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</si>
  <si>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</si>
  <si>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</si>
  <si>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</si>
  <si>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</si>
  <si>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</si>
  <si>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</si>
  <si>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</si>
  <si>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</si>
  <si>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</si>
  <si>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</si>
  <si>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</si>
  <si>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</si>
  <si>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</si>
  <si>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</si>
  <si>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</si>
  <si>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</si>
  <si>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</si>
  <si>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</si>
  <si>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</si>
  <si>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</si>
  <si>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</si>
  <si>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</si>
  <si>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</si>
  <si>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</si>
  <si>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</si>
  <si>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</si>
  <si>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</si>
  <si>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</si>
  <si>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</si>
  <si>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</si>
  <si>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</si>
  <si>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</si>
  <si>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</si>
  <si>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</si>
  <si>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</si>
  <si>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</si>
  <si>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</si>
  <si>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</si>
  <si>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</si>
  <si>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</si>
  <si>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</si>
  <si>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</si>
  <si>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</si>
  <si>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</si>
  <si>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</si>
  <si>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</si>
  <si>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</si>
  <si>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</si>
  <si>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</si>
  <si>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</si>
  <si>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</si>
  <si>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</si>
  <si>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</si>
  <si>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</si>
  <si>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</si>
  <si>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</si>
  <si>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</si>
  <si>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</si>
  <si>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</si>
  <si>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</si>
  <si>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</si>
  <si>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</si>
  <si>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</si>
  <si>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</si>
  <si>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</si>
  <si>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</si>
  <si>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</si>
  <si>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</si>
  <si>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</si>
  <si>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</si>
  <si>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</si>
  <si>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</si>
  <si>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</si>
  <si>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</si>
  <si>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</si>
  <si>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</si>
  <si>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</si>
  <si>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</si>
  <si>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</si>
  <si>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</si>
  <si>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</si>
  <si>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</si>
  <si>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</si>
  <si>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</si>
  <si>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</si>
  <si>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</si>
  <si>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</si>
  <si>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</si>
  <si>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</si>
  <si>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</si>
  <si>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</si>
  <si>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</si>
  <si>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</si>
  <si>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</si>
  <si>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</si>
  <si>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</si>
  <si>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</si>
  <si>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</si>
  <si>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</si>
  <si>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</si>
  <si>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</si>
  <si>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</si>
  <si>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</si>
  <si>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</si>
  <si>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</si>
  <si>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</si>
  <si>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</si>
  <si>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</si>
  <si>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</si>
  <si>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</si>
  <si>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</si>
  <si>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</si>
  <si>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</si>
  <si>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</si>
  <si>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</si>
  <si>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</si>
  <si>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</si>
  <si>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</si>
  <si>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</si>
  <si>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</si>
  <si>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</si>
  <si>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</si>
  <si>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</si>
  <si>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</si>
  <si>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</si>
  <si>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</si>
  <si>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</si>
  <si>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</si>
  <si>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</si>
  <si>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</si>
  <si>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</si>
  <si>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</si>
  <si>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Source of Revenue/Use of Expense</t>
  </si>
  <si>
    <t>Amount</t>
  </si>
  <si>
    <t>VLOOKUP</t>
  </si>
  <si>
    <t>This page is provided for detailed itemizations as requested within the body of the Report.</t>
  </si>
  <si>
    <t>Estimated Revenues</t>
  </si>
  <si>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</si>
  <si>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</si>
  <si>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</si>
  <si>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</si>
  <si>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</si>
  <si>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</si>
  <si>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t>Estimated Expenditures</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</si>
  <si>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</si>
  <si>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</si>
  <si>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</si>
  <si>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</si>
  <si>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</si>
  <si>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</si>
  <si>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</si>
  <si>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</si>
  <si>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</si>
  <si>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</si>
  <si>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</si>
  <si>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</si>
  <si>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</si>
  <si>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</si>
  <si>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</si>
  <si>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</si>
  <si>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</si>
  <si>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</si>
  <si>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</si>
  <si>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</si>
  <si>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</si>
  <si>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</si>
  <si>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</si>
  <si>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</si>
  <si>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</si>
  <si>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</si>
  <si>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</si>
  <si>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</si>
  <si>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</si>
  <si>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</si>
  <si>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</si>
  <si>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</si>
  <si>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</si>
  <si>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</si>
  <si>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</si>
  <si>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</si>
  <si>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</si>
  <si>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Fund-Account Number</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</si>
  <si>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</si>
  <si>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</si>
  <si>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</si>
  <si>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</si>
  <si>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</si>
  <si>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</si>
  <si>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</si>
  <si>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</si>
  <si>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</si>
  <si>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</si>
  <si>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</si>
  <si>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</si>
  <si>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</si>
  <si>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</si>
  <si>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</si>
  <si>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</si>
  <si>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</si>
  <si>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</si>
  <si>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</si>
  <si>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</si>
  <si>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</si>
  <si>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</si>
  <si>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</si>
  <si>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</si>
  <si>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</si>
  <si>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</si>
  <si>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</si>
  <si>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</si>
  <si>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</si>
  <si>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</si>
  <si>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</si>
  <si>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</si>
  <si>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</si>
  <si>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</si>
  <si>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</si>
  <si>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</si>
  <si>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</si>
  <si>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</si>
  <si>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</si>
  <si>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</si>
  <si>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</si>
  <si>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</si>
  <si>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</si>
  <si>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</si>
  <si>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</si>
  <si>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</si>
  <si>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</si>
  <si>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</si>
  <si>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</si>
  <si>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</si>
  <si>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</si>
  <si>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</si>
  <si>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</si>
  <si>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</si>
  <si>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</si>
  <si>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</si>
  <si>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</si>
  <si>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</si>
  <si>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</si>
  <si>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</si>
  <si>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</si>
  <si>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</si>
  <si>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</si>
  <si>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</si>
  <si>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</si>
  <si>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</si>
  <si>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</si>
  <si>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</si>
  <si>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</si>
  <si>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</si>
  <si>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</si>
  <si>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</si>
  <si>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</si>
  <si>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</si>
  <si>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</si>
  <si>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</si>
  <si>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</si>
  <si>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</si>
  <si>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</si>
  <si>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</si>
  <si>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</si>
  <si>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</si>
  <si>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</si>
  <si>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</si>
  <si>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</si>
  <si>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</si>
  <si>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</si>
  <si>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</si>
  <si>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</si>
  <si>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</si>
  <si>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</si>
  <si>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</si>
  <si>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</si>
  <si>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</si>
  <si>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</si>
  <si>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</si>
  <si>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</si>
  <si>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</si>
  <si>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</si>
  <si>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</si>
  <si>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</si>
  <si>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</si>
  <si>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</si>
  <si>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</si>
  <si>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</si>
  <si>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</si>
  <si>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</si>
  <si>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</si>
  <si>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</si>
  <si>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</si>
  <si>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</si>
  <si>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</si>
  <si>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</si>
  <si>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</si>
  <si>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</si>
  <si>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</si>
  <si>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</si>
  <si>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</si>
  <si>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</si>
  <si>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</si>
  <si>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</si>
  <si>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</si>
  <si>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</si>
  <si>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</si>
  <si>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</si>
  <si>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</si>
  <si>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</si>
  <si>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</si>
  <si>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</si>
  <si>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</si>
  <si>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</si>
  <si>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</si>
  <si>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</si>
  <si>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</si>
  <si>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</si>
  <si>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</si>
  <si>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</si>
  <si>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</si>
  <si>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</si>
  <si>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</si>
  <si>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</si>
  <si>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</si>
  <si>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</si>
  <si>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</si>
  <si>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</si>
  <si>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</si>
  <si>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</si>
  <si>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</si>
  <si>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</si>
  <si>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</si>
  <si>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</si>
  <si>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</si>
  <si>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</si>
  <si>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</si>
  <si>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</si>
  <si>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</si>
  <si>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</si>
  <si>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</si>
  <si>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</si>
  <si>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</si>
  <si>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</si>
  <si>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</si>
  <si>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</si>
  <si>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</si>
  <si>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</si>
  <si>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</si>
  <si>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</si>
  <si>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</si>
  <si>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</si>
  <si>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</si>
  <si>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</si>
  <si>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</si>
  <si>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</si>
  <si>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</si>
  <si>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</si>
  <si>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</si>
  <si>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</si>
  <si>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</si>
  <si>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</si>
  <si>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</si>
  <si>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</si>
  <si>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</si>
  <si>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</si>
  <si>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</si>
  <si>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</si>
  <si>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</si>
  <si>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</si>
  <si>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</si>
  <si>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</si>
  <si>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</si>
  <si>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</si>
  <si>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</si>
  <si>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</si>
  <si>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</si>
  <si>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</si>
  <si>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</si>
  <si>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</si>
  <si>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</si>
  <si>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</si>
  <si>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</si>
  <si>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</si>
  <si>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</si>
  <si>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</si>
  <si>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</si>
  <si>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</si>
  <si>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</si>
  <si>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</si>
  <si>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</si>
  <si>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</si>
  <si>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</si>
  <si>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</si>
  <si>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</si>
  <si>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</si>
  <si>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</si>
  <si>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</si>
  <si>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</si>
  <si>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</si>
  <si>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</si>
  <si>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</si>
  <si>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</si>
  <si>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</si>
  <si>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</si>
  <si>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</si>
  <si>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</si>
  <si>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</si>
  <si>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</si>
  <si>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</si>
  <si>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</si>
  <si>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</si>
  <si>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</si>
  <si>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</si>
  <si>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</si>
  <si>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</si>
  <si>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</si>
  <si>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</si>
  <si>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</si>
  <si>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</si>
  <si>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</si>
  <si>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</si>
  <si>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</si>
  <si>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</si>
  <si>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</si>
  <si>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</si>
  <si>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</si>
  <si>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</si>
  <si>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</si>
  <si>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</si>
  <si>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</si>
  <si>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</si>
  <si>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</si>
  <si>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</si>
  <si>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</si>
  <si>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</si>
  <si>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</si>
  <si>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</si>
  <si>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</si>
  <si>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</si>
  <si>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</si>
  <si>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</si>
  <si>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</si>
  <si>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</si>
  <si>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</si>
  <si>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</si>
  <si>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</si>
  <si>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</si>
  <si>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</si>
  <si>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</si>
  <si>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</si>
  <si>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</si>
  <si>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</si>
  <si>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</si>
  <si>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</si>
  <si>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</si>
  <si>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</si>
  <si>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</si>
  <si>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</si>
  <si>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</si>
  <si>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</si>
  <si>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</si>
  <si>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</si>
  <si>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</si>
  <si>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</si>
  <si>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</si>
  <si>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</si>
  <si>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</si>
  <si>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</si>
  <si>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</si>
  <si>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</si>
  <si>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</si>
  <si>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</si>
  <si>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</si>
  <si>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</si>
  <si>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</si>
  <si>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</si>
  <si>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</si>
  <si>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</si>
  <si>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</si>
  <si>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</si>
  <si>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</si>
  <si>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</si>
  <si>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</si>
  <si>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</si>
  <si>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</si>
  <si>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</si>
  <si>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</si>
  <si>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</si>
  <si>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</si>
  <si>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</si>
  <si>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</si>
  <si>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</si>
  <si>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</si>
  <si>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</si>
  <si>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</si>
  <si>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</si>
  <si>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</si>
  <si>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</si>
  <si>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</si>
  <si>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</si>
  <si>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</si>
  <si>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</si>
  <si>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</si>
  <si>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</si>
  <si>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</si>
  <si>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</si>
  <si>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</si>
  <si>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</si>
  <si>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</si>
  <si>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</si>
  <si>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</si>
  <si>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</si>
  <si>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</si>
  <si>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</si>
  <si>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</si>
  <si>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</si>
  <si>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</si>
  <si>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</si>
  <si>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</si>
  <si>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</si>
  <si>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</si>
  <si>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</si>
  <si>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</si>
  <si>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</si>
  <si>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</si>
  <si>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</si>
  <si>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</si>
  <si>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</si>
  <si>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</si>
  <si>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</si>
  <si>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</si>
  <si>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</si>
  <si>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</si>
  <si>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</si>
  <si>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</si>
  <si>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</si>
  <si>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</si>
  <si>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</si>
  <si>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</si>
  <si>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</si>
  <si>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</si>
  <si>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</si>
  <si>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</si>
  <si>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</si>
  <si>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</si>
  <si>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</si>
  <si>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</si>
  <si>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</si>
  <si>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</si>
  <si>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</si>
  <si>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</si>
  <si>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</si>
  <si>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</si>
  <si>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</si>
  <si>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</si>
  <si>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</si>
  <si>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</si>
  <si>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</si>
  <si>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</si>
  <si>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</si>
  <si>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</si>
  <si>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</si>
  <si>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</si>
  <si>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</si>
  <si>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</si>
  <si>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</si>
  <si>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</si>
  <si>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</si>
  <si>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</si>
  <si>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</si>
  <si>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</si>
  <si>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</si>
  <si>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</si>
  <si>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</si>
  <si>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</si>
  <si>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</si>
  <si>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</si>
  <si>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</si>
  <si>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</si>
  <si>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</si>
  <si>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</si>
  <si>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</si>
  <si>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</si>
  <si>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</si>
  <si>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</si>
  <si>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</si>
  <si>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</si>
  <si>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</si>
  <si>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</si>
  <si>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</si>
  <si>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</si>
  <si>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</si>
  <si>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</si>
  <si>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</si>
  <si>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</si>
  <si>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</si>
  <si>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</si>
  <si>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</si>
  <si>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</si>
  <si>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</si>
  <si>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</si>
  <si>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</si>
  <si>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</si>
  <si>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</si>
  <si>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</si>
  <si>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</si>
  <si>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</si>
  <si>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</si>
  <si>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</si>
  <si>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</si>
  <si>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</si>
  <si>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</si>
  <si>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</si>
  <si>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</si>
  <si>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</si>
  <si>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</si>
  <si>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</si>
  <si>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</si>
  <si>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</si>
  <si>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</si>
  <si>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</si>
  <si>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</si>
  <si>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</si>
  <si>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</si>
  <si>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</si>
  <si>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</si>
  <si>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</si>
  <si>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</si>
  <si>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</si>
  <si>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</si>
  <si>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</si>
  <si>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</si>
  <si>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</si>
  <si>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</si>
  <si>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</si>
  <si>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</si>
  <si>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</si>
  <si>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</si>
  <si>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</si>
  <si>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</si>
  <si>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</si>
  <si>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</si>
  <si>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</si>
  <si>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</si>
  <si>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</si>
  <si>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</si>
  <si>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</si>
  <si>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</si>
  <si>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</si>
  <si>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</si>
  <si>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</si>
  <si>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</si>
  <si>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</si>
  <si>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</si>
  <si>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</si>
  <si>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</si>
  <si>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</si>
  <si>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</si>
  <si>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</si>
  <si>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</si>
  <si>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</si>
  <si>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</si>
  <si>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</si>
  <si>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</si>
  <si>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</si>
  <si>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</si>
  <si>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</si>
  <si>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</si>
  <si>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</si>
  <si>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</si>
  <si>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</si>
  <si>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</si>
  <si>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</si>
  <si>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</si>
  <si>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</si>
  <si>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</si>
  <si>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</si>
  <si>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</si>
  <si>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</si>
  <si>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</si>
  <si>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</si>
  <si>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</si>
  <si>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</si>
  <si>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</si>
  <si>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</si>
  <si>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</si>
  <si>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</si>
  <si>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</si>
  <si>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</si>
  <si>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</si>
  <si>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</si>
  <si>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</si>
  <si>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</si>
  <si>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</si>
  <si>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</si>
  <si>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</si>
  <si>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</si>
  <si>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</si>
  <si>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</si>
  <si>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</si>
  <si>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</si>
  <si>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</si>
  <si>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</si>
  <si>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</si>
  <si>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</si>
  <si>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</si>
  <si>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</si>
  <si>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</si>
  <si>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</si>
  <si>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</si>
  <si>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</si>
  <si>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</si>
  <si>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</si>
  <si>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</si>
  <si>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</si>
  <si>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</si>
  <si>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</si>
  <si>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</si>
  <si>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</si>
  <si>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</si>
  <si>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</si>
  <si>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</si>
  <si>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</si>
  <si>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</si>
  <si>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</si>
  <si>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</si>
  <si>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</si>
  <si>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</si>
  <si>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</si>
  <si>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</si>
  <si>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</si>
  <si>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</si>
  <si>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</si>
  <si>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</si>
  <si>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</si>
  <si>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</si>
  <si>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</si>
  <si>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</si>
  <si>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</si>
  <si>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</si>
  <si>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</si>
  <si>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</si>
  <si>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</si>
  <si>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</si>
  <si>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</si>
  <si>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</si>
  <si>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</si>
  <si>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</si>
  <si>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</si>
  <si>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</si>
  <si>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</si>
  <si>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</si>
  <si>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</si>
  <si>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</si>
  <si>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</si>
  <si>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</si>
  <si>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</si>
  <si>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</si>
  <si>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</si>
  <si>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</si>
  <si>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</si>
  <si>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</si>
  <si>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</si>
  <si>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</si>
  <si>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</si>
  <si>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</si>
  <si>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</si>
  <si>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</si>
  <si>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</si>
  <si>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</si>
  <si>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</si>
  <si>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</si>
  <si>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</si>
  <si>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</si>
  <si>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</si>
  <si>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</si>
  <si>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</si>
  <si>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</si>
  <si>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</si>
  <si>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</si>
  <si>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</si>
  <si>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</si>
  <si>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</si>
  <si>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</si>
  <si>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</si>
  <si>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</si>
  <si>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</si>
  <si>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</si>
  <si>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</si>
  <si>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</si>
  <si>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</si>
  <si>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</si>
  <si>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</si>
  <si>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</si>
  <si>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</si>
  <si>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</si>
  <si>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</si>
  <si>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</si>
  <si>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</si>
  <si>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</si>
  <si>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</si>
  <si>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</si>
  <si>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</si>
  <si>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</si>
  <si>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</si>
  <si>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</si>
  <si>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</si>
  <si>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</si>
  <si>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</si>
  <si>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</si>
  <si>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</si>
  <si>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</si>
  <si>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</si>
  <si>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</si>
  <si>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</si>
  <si>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</si>
  <si>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</si>
  <si>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</si>
  <si>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</si>
  <si>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</si>
  <si>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</si>
  <si>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</si>
  <si>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</si>
  <si>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</si>
  <si>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</si>
  <si>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</si>
  <si>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</si>
  <si>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</si>
  <si>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</si>
  <si>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</si>
  <si>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</si>
  <si>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</si>
  <si>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</si>
  <si>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</si>
  <si>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</si>
  <si>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</si>
  <si>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</si>
  <si>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</si>
  <si>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</si>
  <si>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</si>
  <si>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</si>
  <si>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</si>
  <si>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</si>
  <si>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</si>
  <si>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</si>
  <si>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</si>
  <si>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</si>
  <si>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</si>
  <si>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</si>
  <si>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</si>
  <si>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</si>
  <si>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</si>
  <si>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</si>
  <si>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</si>
  <si>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</si>
  <si>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</si>
  <si>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</si>
  <si>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</si>
  <si>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</si>
  <si>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</si>
  <si>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</si>
  <si>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</si>
  <si>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</si>
  <si>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</si>
  <si>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</si>
  <si>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</si>
  <si>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</si>
  <si>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</si>
  <si>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</si>
  <si>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</si>
  <si>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</si>
  <si>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</si>
  <si>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</si>
  <si>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</si>
  <si>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</si>
  <si>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</si>
  <si>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</si>
  <si>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</si>
  <si>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</si>
  <si>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</si>
  <si>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</si>
  <si>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</si>
  <si>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</si>
  <si>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</si>
  <si>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</si>
  <si>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</si>
  <si>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</si>
  <si>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</si>
  <si>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</si>
  <si>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</si>
  <si>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</si>
  <si>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</si>
  <si>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</si>
  <si>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</si>
  <si>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</si>
  <si>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</si>
  <si>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</si>
  <si>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</si>
  <si>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</si>
  <si>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</si>
  <si>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</si>
  <si>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</si>
  <si>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</si>
  <si>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</si>
  <si>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</si>
  <si>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</si>
  <si>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</si>
  <si>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</si>
  <si>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</si>
  <si>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</si>
  <si>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</si>
  <si>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</si>
  <si>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</si>
  <si>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</si>
  <si>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</si>
  <si>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</si>
  <si>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</si>
  <si>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</si>
  <si>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</si>
  <si>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</si>
  <si>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</si>
  <si>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</si>
  <si>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</si>
  <si>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</si>
  <si>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</si>
  <si>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</si>
  <si>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</si>
  <si>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</si>
  <si>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</si>
  <si>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</si>
  <si>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</si>
  <si>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</si>
  <si>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</si>
  <si>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</si>
  <si>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</si>
  <si>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</si>
  <si>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</si>
  <si>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</si>
  <si>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</si>
  <si>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</si>
  <si>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</si>
  <si>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</si>
  <si>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</si>
  <si>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</si>
  <si>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</si>
  <si>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</si>
  <si>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</si>
  <si>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</si>
  <si>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West Central Reg System</t>
  </si>
  <si>
    <t>Spec Ed Assoc of Adams Cty</t>
  </si>
  <si>
    <t>Two Rivers Career Ed System</t>
  </si>
  <si>
    <t>Four Rivers Spec Ed Dist</t>
  </si>
  <si>
    <t>NPT Spec Ed Coop</t>
  </si>
  <si>
    <t>Okaw Area Voc Ctr</t>
  </si>
  <si>
    <t>Bond Fayette Effingham EFE 410</t>
  </si>
  <si>
    <t>Winnebago Cty Spec Ed Coop</t>
  </si>
  <si>
    <t>North Suburban Ed Reg for Voc (NSERV)</t>
  </si>
  <si>
    <t>LaGrange Area Dept Spec Ed (LADSE)</t>
  </si>
  <si>
    <t>Des Plaines Valley EFE</t>
  </si>
  <si>
    <t>Proviso Area Exceptional Child</t>
  </si>
  <si>
    <t>Eisenhower Coop</t>
  </si>
  <si>
    <t>Southwest Cook Coop Spec Ed</t>
  </si>
  <si>
    <t>Exceptional Children Have Opportunities (ECHO)</t>
  </si>
  <si>
    <t>Moraine Area Career System</t>
  </si>
  <si>
    <t>Career Development System</t>
  </si>
  <si>
    <t>Career Preparation Network</t>
  </si>
  <si>
    <t>Speed SEJA 802</t>
  </si>
  <si>
    <t>AERO Spec Ed Coop</t>
  </si>
  <si>
    <t>Northwest Spec Ed Coop</t>
  </si>
  <si>
    <t>Jo Daviess Carroll CTE Academy</t>
  </si>
  <si>
    <t>CTE Consortium</t>
  </si>
  <si>
    <t>EFE System 330</t>
  </si>
  <si>
    <t>Rural Champaign Cty Spec Ed Coop</t>
  </si>
  <si>
    <t>Ford Spec Ed Coop</t>
  </si>
  <si>
    <t>Eastern IL EFE System</t>
  </si>
  <si>
    <t>Eastern IL Area of Spec Ed</t>
  </si>
  <si>
    <t>Twin Rivers CTE System</t>
  </si>
  <si>
    <t>Rend Lake Area Reg Del System</t>
  </si>
  <si>
    <t>Franklin-Jefferson Cty Spec Ed Dist</t>
  </si>
  <si>
    <t>Kaskaskia Spec Ed Dist</t>
  </si>
  <si>
    <t>IL Spec Ed Charter Coop</t>
  </si>
  <si>
    <t>Kishwaukee Ed Consortium</t>
  </si>
  <si>
    <t>Indian Valley Area Voc Ctr</t>
  </si>
  <si>
    <t>Livingston Cty Spec Services Unit</t>
  </si>
  <si>
    <t>Livingston Area Career Ctr</t>
  </si>
  <si>
    <t>Livingston Area EFE</t>
  </si>
  <si>
    <t>Lincolnland Technical Ed Ctr</t>
  </si>
  <si>
    <t>Lincolnland Reg Del System</t>
  </si>
  <si>
    <t>Heart of IL Low Incidence (HILIA)</t>
  </si>
  <si>
    <t>Tri-Cty Spec Ed Assoc</t>
  </si>
  <si>
    <t>Bloomington Area Career Ctr</t>
  </si>
  <si>
    <t>McLean-Dewitt Reg Voc System</t>
  </si>
  <si>
    <t>Coop Assoc for Spec Ed</t>
  </si>
  <si>
    <t>North DuPage Spec Ed Coop</t>
  </si>
  <si>
    <t>Ohio &amp; Wabash Valley Reg Voc System</t>
  </si>
  <si>
    <t>Wabash &amp; Ohio Valley Spec Ed Dist</t>
  </si>
  <si>
    <t>Franklin Cty Reg Del System</t>
  </si>
  <si>
    <t>Williamson Cty CTE System</t>
  </si>
  <si>
    <t>Williamson Cty Spec Ed Dist</t>
  </si>
  <si>
    <t>Grundy Cty Spec Ed Coop</t>
  </si>
  <si>
    <t>Western Area Career System 265</t>
  </si>
  <si>
    <t>West Central IL Spec Ed Coop</t>
  </si>
  <si>
    <t>Henry-Stark Cty Spec Ed Dist</t>
  </si>
  <si>
    <t>Five Cty Reg Voc System</t>
  </si>
  <si>
    <t>Jamp Spec Ed Services</t>
  </si>
  <si>
    <t>Northern Kane Cty Reg Voc System</t>
  </si>
  <si>
    <t>Fox Valley Career Ctr</t>
  </si>
  <si>
    <t>Kankakee Area Career Ctr</t>
  </si>
  <si>
    <t>Kankakee Area Reg Voc Ed System</t>
  </si>
  <si>
    <t>Iroquois Area Reg Del System</t>
  </si>
  <si>
    <t>Iroquois Spec Ed</t>
  </si>
  <si>
    <t>Galesburg Area Voc Ctr</t>
  </si>
  <si>
    <t>Delabar CTE System</t>
  </si>
  <si>
    <t>Lake Cty High Schools Tech Campus</t>
  </si>
  <si>
    <t>Lake Cty Area Voc System</t>
  </si>
  <si>
    <t>Exceptional Learners</t>
  </si>
  <si>
    <t>Spec Ed Dist Lake Cty (SEDOL)</t>
  </si>
  <si>
    <t>LaSalle Putnam Alliance</t>
  </si>
  <si>
    <t>La Salle-Peru Area Career Ctr</t>
  </si>
  <si>
    <t>Starved Rock for Voc Tech Ed</t>
  </si>
  <si>
    <t>BMP Tri Cty Spec Ed Coop</t>
  </si>
  <si>
    <t>Heartland Region</t>
  </si>
  <si>
    <t>Heartland Technical Academy</t>
  </si>
  <si>
    <t>Central IL Rural Region</t>
  </si>
  <si>
    <t>Madison Cty Voc Adj Counseling</t>
  </si>
  <si>
    <t>Madison Cty Reg I Spec Ed Coop</t>
  </si>
  <si>
    <t>Collinsville Area Career Ctr</t>
  </si>
  <si>
    <t>Madison Cty CTE System</t>
  </si>
  <si>
    <t>Region III Spec Ed Coop</t>
  </si>
  <si>
    <t>Perandoe Spec Ed Dist</t>
  </si>
  <si>
    <t>Ogle Cty Ed Coop</t>
  </si>
  <si>
    <t>Bi-Cty Spec Ed Coop</t>
  </si>
  <si>
    <t>Peoria Ed Reg for Empl Training (PERFECT)</t>
  </si>
  <si>
    <t>United Twp Area Career Ctr</t>
  </si>
  <si>
    <t>Quad City CTE Cons</t>
  </si>
  <si>
    <t>Black Hawk Area Spec Ed Dist</t>
  </si>
  <si>
    <t>East St Louis Reg Voc System</t>
  </si>
  <si>
    <t>Belleville Area Spec Services</t>
  </si>
  <si>
    <t>Capital Area Career Ctr</t>
  </si>
  <si>
    <t>Tazewell Cty Area EFE RDS</t>
  </si>
  <si>
    <t>Central IL Voc Ed Coop</t>
  </si>
  <si>
    <t>Woodford Cty Spec Ed Assoc</t>
  </si>
  <si>
    <t>Vermilion Voc Ed Del System</t>
  </si>
  <si>
    <t>Bismarck Henning Rossville Alvin Coop HS</t>
  </si>
  <si>
    <t>Vermilion Assoc for Spec Ed</t>
  </si>
  <si>
    <t>Wilco Area Career Ctr</t>
  </si>
  <si>
    <t>Lockport Area Spec Ed Coop</t>
  </si>
  <si>
    <t>Three Rivers EFE System</t>
  </si>
  <si>
    <t>56099030C61</t>
  </si>
  <si>
    <t>South Eastern Spec Ed Program</t>
  </si>
  <si>
    <t>Northern Suburban Spec Ed Dist</t>
  </si>
  <si>
    <t>Dropdown Menu:</t>
  </si>
  <si>
    <t>Offset for validation_list:</t>
  </si>
  <si>
    <t>Search hits for VLOOKUP:</t>
  </si>
  <si>
    <t>Mid-Valley Spec Ed Coop</t>
  </si>
  <si>
    <t>McHenry Cty Coop for Employ Ed</t>
  </si>
  <si>
    <t>Eagle Ridge Voc Del System</t>
  </si>
  <si>
    <t>Northwest Ed Council for Student Success</t>
  </si>
  <si>
    <t>Spec Ed Dist of McHenry Cty (SEDOM)</t>
  </si>
  <si>
    <t>East St Louis Area Joint Agreement</t>
  </si>
  <si>
    <t>Evanston Dists 65/202 Joint Agreement</t>
  </si>
  <si>
    <t>Lincoln-Way Area Spec Ed Joint Agreement Dist</t>
  </si>
  <si>
    <t>Macon-Piatt Spec Ed Joint Agreement</t>
  </si>
  <si>
    <t>Mid-State Spec Ed Joint Agreement</t>
  </si>
  <si>
    <t>Tri-Cty Spec Ed Joint Agreement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</si>
  <si>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</si>
  <si>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</si>
  <si>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</si>
  <si>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</si>
  <si>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source/expenditure use.</t>
  </si>
  <si>
    <t>NOTES</t>
  </si>
  <si>
    <t>District Type:</t>
  </si>
  <si>
    <t>County</t>
  </si>
  <si>
    <t>Dist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</si>
  <si>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</si>
  <si>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</si>
  <si>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</si>
  <si>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</si>
  <si>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</si>
  <si>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</si>
  <si>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</si>
  <si>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</si>
  <si>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</si>
  <si>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</si>
  <si>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</si>
  <si>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</si>
  <si>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</si>
  <si>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</si>
  <si>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</si>
  <si>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</si>
  <si>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</si>
  <si>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</si>
  <si>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</si>
  <si>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</si>
  <si>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</si>
  <si>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</si>
  <si>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</si>
  <si>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</si>
  <si>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</si>
  <si>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</si>
  <si>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</si>
  <si>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</si>
  <si>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</si>
  <si>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</si>
  <si>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</si>
  <si>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</si>
  <si>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</si>
  <si>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</si>
  <si>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</si>
  <si>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</si>
  <si>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</si>
  <si>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</si>
  <si>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</si>
  <si>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</si>
  <si>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</si>
  <si>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</si>
  <si>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</si>
  <si>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</si>
  <si>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</si>
  <si>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</si>
  <si>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</si>
  <si>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</si>
  <si>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</si>
  <si>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</si>
  <si>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</si>
  <si>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</si>
  <si>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</si>
  <si>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</si>
  <si>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</si>
  <si>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</si>
  <si>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</si>
  <si>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</si>
  <si>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</si>
  <si>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</si>
  <si>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</si>
  <si>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</si>
  <si>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</si>
  <si>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</si>
  <si>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Career Ctr of Southern IL</t>
  </si>
  <si>
    <t>Monroe</t>
  </si>
  <si>
    <t>Career Ed Associates of North Central IL (CEANCI)</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</si>
  <si>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</si>
  <si>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</si>
  <si>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</si>
  <si>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</si>
  <si>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</si>
  <si>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</si>
  <si>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</si>
  <si>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</si>
  <si>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</si>
  <si>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</si>
  <si>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</si>
  <si>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</si>
  <si>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</si>
  <si>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</si>
  <si>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</si>
  <si>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</si>
  <si>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</si>
  <si>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</si>
  <si>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</si>
  <si>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</si>
  <si>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</si>
  <si>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</si>
  <si>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</si>
  <si>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</si>
  <si>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</si>
  <si>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</si>
  <si>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</si>
  <si>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</si>
  <si>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</si>
  <si>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</si>
  <si>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</si>
  <si>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Clay-Jasper-Richland-North Wayne-RDS</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</si>
  <si>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</si>
  <si>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</si>
  <si>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</si>
  <si>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</si>
  <si>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</si>
  <si>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</si>
  <si>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</si>
  <si>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</si>
  <si>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</si>
  <si>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</si>
  <si>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</si>
  <si>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</si>
  <si>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</si>
  <si>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</si>
  <si>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</si>
  <si>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</si>
  <si>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</si>
  <si>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</si>
  <si>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</si>
  <si>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</si>
  <si>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</si>
  <si>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</si>
  <si>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</si>
  <si>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Area Occup Ed System (DAOES)</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</si>
  <si>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</si>
  <si>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</si>
  <si>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</si>
  <si>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</si>
  <si>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</si>
  <si>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</si>
  <si>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</si>
  <si>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</si>
  <si>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</si>
  <si>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</si>
  <si>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</si>
  <si>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</si>
  <si>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Five County Reg Voc Ctr</t>
  </si>
  <si>
    <t>Ford</t>
  </si>
  <si>
    <t>Forest Ridge SD 142</t>
  </si>
  <si>
    <t>Morgan</t>
  </si>
  <si>
    <t>Fox River Grove Cons SD 3</t>
  </si>
  <si>
    <t>Gallatin</t>
  </si>
  <si>
    <t>Genoa Kingston CUSD 424</t>
  </si>
  <si>
    <t>Georgetown-Ridge Farm CUD 4</t>
  </si>
  <si>
    <t>Goreville CUD 1</t>
  </si>
  <si>
    <t>Pike</t>
  </si>
  <si>
    <t>Grundy Area Voc Ctr</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</si>
  <si>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</si>
  <si>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</si>
  <si>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</si>
  <si>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</si>
  <si>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</si>
  <si>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</si>
  <si>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</si>
  <si>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</si>
  <si>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</si>
  <si>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</si>
  <si>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</si>
  <si>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</si>
  <si>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</si>
  <si>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</si>
  <si>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</si>
  <si>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</si>
  <si>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 Cty Reg Del System</t>
  </si>
  <si>
    <t>Jackson/Perry</t>
  </si>
  <si>
    <t>Jasper County CUD 1</t>
  </si>
  <si>
    <t>Jasper</t>
  </si>
  <si>
    <t>Jersey</t>
  </si>
  <si>
    <t>Massac</t>
  </si>
  <si>
    <t>Kankakee Area Spec Ed Coop</t>
  </si>
  <si>
    <t>Kell Cons SD 2</t>
  </si>
  <si>
    <t>Kings Cons SD 144</t>
  </si>
  <si>
    <t>DeKalb</t>
  </si>
  <si>
    <t>Knox Warren Spec Ed Dists</t>
  </si>
  <si>
    <t>La Grange SD 105 South</t>
  </si>
  <si>
    <t>Lake Park CHSD 108</t>
  </si>
  <si>
    <t>Lake Villa CCSD 41</t>
  </si>
  <si>
    <t>Laraway CCSD 70C</t>
  </si>
  <si>
    <t>Lawrence County CUD 20</t>
  </si>
  <si>
    <t>Lee Cty Spec Ed Assoc (LCSEA)</t>
  </si>
  <si>
    <t>Lena Winslow CUSD 202</t>
  </si>
  <si>
    <t>LeRoy CUSD 2</t>
  </si>
  <si>
    <t>Leyden Area Spec Ed Coop (LASEC)</t>
  </si>
  <si>
    <t>Lisbon CCSD 90</t>
  </si>
  <si>
    <t>Litchfield CUSD 12</t>
  </si>
  <si>
    <t>Mahomet-Seymour CUSD 3</t>
  </si>
  <si>
    <t>Maine Township HSD 207</t>
  </si>
  <si>
    <t>Marengo-Union E Cons D 165</t>
  </si>
  <si>
    <t>Marion-Clinton-Washington Cty CTE</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</si>
  <si>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</si>
  <si>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</si>
  <si>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</si>
  <si>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</si>
  <si>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</si>
  <si>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</si>
  <si>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</si>
  <si>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</si>
  <si>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</si>
  <si>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</si>
  <si>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</si>
  <si>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</si>
  <si>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Mt Vernon Area Career Ctr</t>
  </si>
  <si>
    <t>Mundelein Cons HSD 120</t>
  </si>
  <si>
    <t>N Pekin &amp; Marquette Hght SD 102</t>
  </si>
  <si>
    <t>Niles Twp Dist for Spec Ed</t>
  </si>
  <si>
    <t>Niles Twp HSD 219</t>
  </si>
  <si>
    <t>Northwest Suburban Spec Ed Org (NSSEO)</t>
  </si>
  <si>
    <t>Northwestern IL Assoc</t>
  </si>
  <si>
    <t>O Fallon CCSD 90</t>
  </si>
  <si>
    <t>O Fallon Twp HSD 203</t>
  </si>
  <si>
    <t>Oak Grove SD 68  Bartonville</t>
  </si>
  <si>
    <t>Okaw Reg Voc System</t>
  </si>
  <si>
    <t>Pekin CSD 303</t>
  </si>
  <si>
    <t>Pinckneyville CHSD 101</t>
  </si>
  <si>
    <t>Plano Area Spec Ed Coop (PASEC)</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</si>
  <si>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</si>
  <si>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</si>
  <si>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</si>
  <si>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</si>
  <si>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</si>
  <si>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</si>
  <si>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</si>
  <si>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</si>
  <si>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</si>
  <si>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</si>
  <si>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</si>
  <si>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</si>
  <si>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Reg Office of CTE</t>
  </si>
  <si>
    <t>Jefferson/Hamilton/Wayne</t>
  </si>
  <si>
    <t>Richland County CUSD 1</t>
  </si>
  <si>
    <t>Ridgewood CHSD 234</t>
  </si>
  <si>
    <t>Riverside-Brookfield Twp SD 208</t>
  </si>
  <si>
    <t>Salt Fork Community Unit District  512</t>
  </si>
  <si>
    <t>Sangamon Area Spec Ed Dist (SASED)</t>
  </si>
  <si>
    <t>Sangamon Valley CUSD 9</t>
  </si>
  <si>
    <t>Saratoga CCSD 60C</t>
  </si>
  <si>
    <t>Scales Mound CUSD 211</t>
  </si>
  <si>
    <t>School Assoc for Spec Ed (SASED)</t>
  </si>
  <si>
    <t>Schuyler-Industry CUSD 5</t>
  </si>
  <si>
    <t>Schuyler</t>
  </si>
  <si>
    <t>SD 45 DuPage County</t>
  </si>
  <si>
    <t>South Central CUD 401</t>
  </si>
  <si>
    <t>South Macoupin Assoc (SASE)</t>
  </si>
  <si>
    <t>South Will Cty Coop for Spec Ed</t>
  </si>
  <si>
    <t>South Wilmington CCSD 74</t>
  </si>
  <si>
    <t>Southwestern IL CTE System</t>
  </si>
  <si>
    <t>Spec Ed Assoc of Peoria Cty</t>
  </si>
  <si>
    <t>St Libory Cons SD 30</t>
  </si>
  <si>
    <t>Stark County CUSD 100</t>
  </si>
  <si>
    <t>Tamaroa School Dist 5</t>
  </si>
  <si>
    <t>Tazewell-Mason Ctys Spec Ed Assoc</t>
  </si>
  <si>
    <t>Thornton Fractional Twp HSD 215</t>
  </si>
  <si>
    <t>Township HSD 211</t>
  </si>
  <si>
    <t>Tri Point CUSD 6-J</t>
  </si>
  <si>
    <t>Trico CUSD 176</t>
  </si>
  <si>
    <t>Troy CCSD 30C</t>
  </si>
  <si>
    <t>Twp HSD 113</t>
  </si>
  <si>
    <t>V I T CUSD 2</t>
  </si>
  <si>
    <t>Valley EFE System (VALEES)</t>
  </si>
  <si>
    <t>Warrensburg-Latham CUSD 11</t>
  </si>
  <si>
    <t>West Carroll CUSD 314</t>
  </si>
  <si>
    <t>Henderson</t>
  </si>
  <si>
    <t>West Washington Co CUD 10</t>
  </si>
  <si>
    <t>Westville CUSD 2</t>
  </si>
  <si>
    <t>Whiteside Reg Voc System</t>
  </si>
  <si>
    <t>Will County SD 92</t>
  </si>
  <si>
    <t>Wilmette Community Spec Ed Agreement</t>
  </si>
  <si>
    <t>Wood River-Hartford ESD 15</t>
  </si>
  <si>
    <t>Woodlawn Unit School District 209</t>
  </si>
  <si>
    <t>RCDTDash</t>
  </si>
  <si>
    <t>33-048-2760-26</t>
  </si>
  <si>
    <t>01-009-2620-26</t>
  </si>
  <si>
    <t>19-022-0040-02</t>
  </si>
  <si>
    <t>34-049-1250-13</t>
  </si>
  <si>
    <t>07-016-8060-60</t>
  </si>
  <si>
    <t>21-028-0910-04</t>
  </si>
  <si>
    <t>13-014-0630-02</t>
  </si>
  <si>
    <t>44-063-0190-24</t>
  </si>
  <si>
    <t>20-093-0170-24</t>
  </si>
  <si>
    <t>35-050-0650-04</t>
  </si>
  <si>
    <t>07-016-1260-02</t>
  </si>
  <si>
    <t>03-025-0100-26</t>
  </si>
  <si>
    <t>41-057-0110-26</t>
  </si>
  <si>
    <t>28-037-2250-26</t>
  </si>
  <si>
    <t>47-052-2720-26</t>
  </si>
  <si>
    <t>30-091-0370-04</t>
  </si>
  <si>
    <t>30-091-0810-16</t>
  </si>
  <si>
    <t>28-037-2260-26</t>
  </si>
  <si>
    <t>34-049-0340-04</t>
  </si>
  <si>
    <t>34-049-1020-04</t>
  </si>
  <si>
    <t>07-016-1450-02</t>
  </si>
  <si>
    <t>11-021-3060-26</t>
  </si>
  <si>
    <t>39-055-0010-26</t>
  </si>
  <si>
    <t>07-016-2170-16</t>
  </si>
  <si>
    <t>05-016-0250-02</t>
  </si>
  <si>
    <t>54-092-2250-17</t>
  </si>
  <si>
    <t>54-092-0610-03</t>
  </si>
  <si>
    <t>11-021-3050-26</t>
  </si>
  <si>
    <t>13-095-0150-04</t>
  </si>
  <si>
    <t>47-052-2750-26</t>
  </si>
  <si>
    <t>26-029-0010-26</t>
  </si>
  <si>
    <t>51-065-2130-26</t>
  </si>
  <si>
    <t>07-016-1250-02</t>
  </si>
  <si>
    <t>51-084-0100-26</t>
  </si>
  <si>
    <t>31-045-1310-22</t>
  </si>
  <si>
    <t>31-045-1290-22</t>
  </si>
  <si>
    <t>13-014-0210-02</t>
  </si>
  <si>
    <t>05-016-0370-02</t>
  </si>
  <si>
    <t>51-084-0050-26</t>
  </si>
  <si>
    <t>34-049-1060-02</t>
  </si>
  <si>
    <t>34-049-2200-26</t>
  </si>
  <si>
    <t>13-014-0570-02</t>
  </si>
  <si>
    <t>48-072-0660-02</t>
  </si>
  <si>
    <t>31-045-1010-22</t>
  </si>
  <si>
    <t>34-049-0030-04</t>
  </si>
  <si>
    <t>01-009-0150-26</t>
  </si>
  <si>
    <t>03-025-0200-26</t>
  </si>
  <si>
    <t>56-099-200U-26</t>
  </si>
  <si>
    <t>50-082-1190-02</t>
  </si>
  <si>
    <t>50-082-8010-60</t>
  </si>
  <si>
    <t>50-082-1180-02</t>
  </si>
  <si>
    <t>50-082-2010-17</t>
  </si>
  <si>
    <t>06-016-0880-02</t>
  </si>
  <si>
    <t>04-004-1000-26</t>
  </si>
  <si>
    <t>39-074-0050-26</t>
  </si>
  <si>
    <t>19-022-0250-02</t>
  </si>
  <si>
    <t>19-022-0020-02</t>
  </si>
  <si>
    <t>21-028-0470-04</t>
  </si>
  <si>
    <t>21-028-1030-13</t>
  </si>
  <si>
    <t>06-016-0870-02</t>
  </si>
  <si>
    <t>06-016-0980-02</t>
  </si>
  <si>
    <t>06-016-1000-02</t>
  </si>
  <si>
    <t>41-057-0080-26</t>
  </si>
  <si>
    <t>13-041-0820-02</t>
  </si>
  <si>
    <t>47-098-0000-61</t>
  </si>
  <si>
    <t>34-049-0380-02</t>
  </si>
  <si>
    <t>54-092-0010-26</t>
  </si>
  <si>
    <t>54-092-8000-80</t>
  </si>
  <si>
    <t>49-081-8650-60</t>
  </si>
  <si>
    <t>07-016-2060-17</t>
  </si>
  <si>
    <t>19-022-0130-02</t>
  </si>
  <si>
    <t>17-064-0870-41</t>
  </si>
  <si>
    <t>17-064-0870-25</t>
  </si>
  <si>
    <t>17-020-0180-26</t>
  </si>
  <si>
    <t>13-041-3180-27</t>
  </si>
  <si>
    <t>35-059-0050-61</t>
  </si>
  <si>
    <t>03-003-0020-26</t>
  </si>
  <si>
    <t>03-026-7410-45</t>
  </si>
  <si>
    <t>32-046-0530-02</t>
  </si>
  <si>
    <t>24-032-0750-02</t>
  </si>
  <si>
    <t>28-088-0010-26</t>
  </si>
  <si>
    <t>32-046-3070-16</t>
  </si>
  <si>
    <t>32-046-0610-02</t>
  </si>
  <si>
    <t>13-014-0120-04</t>
  </si>
  <si>
    <t>07-016-2280-16</t>
  </si>
  <si>
    <t>48-072-3090-26</t>
  </si>
  <si>
    <t>06-016-0950-02</t>
  </si>
  <si>
    <t>50-082-1880-22</t>
  </si>
  <si>
    <t>07-016-1670-02</t>
  </si>
  <si>
    <t>01-005-0010-26</t>
  </si>
  <si>
    <t>03-026-2010-26</t>
  </si>
  <si>
    <t>40-007-0420-26</t>
  </si>
  <si>
    <t>21-044-0430-03</t>
  </si>
  <si>
    <t>40-056-0080-26</t>
  </si>
  <si>
    <t>07-016-1110-02</t>
  </si>
  <si>
    <t>28-006-3400-26</t>
  </si>
  <si>
    <t>07-016-1545-02</t>
  </si>
  <si>
    <t>26-062-1700-26</t>
  </si>
  <si>
    <t>19-022-0530-02</t>
  </si>
  <si>
    <t>47-071-2260-26</t>
  </si>
  <si>
    <t>50-082-1870-26</t>
  </si>
  <si>
    <t>30-002-0010-22</t>
  </si>
  <si>
    <t>40-007-0400-26</t>
  </si>
  <si>
    <t>07-016-1550-02</t>
  </si>
  <si>
    <t>07-016-1320-02</t>
  </si>
  <si>
    <t>28-037-2270-26</t>
  </si>
  <si>
    <t>26-029-0660-25</t>
  </si>
  <si>
    <t>51-084-7900-40</t>
  </si>
  <si>
    <t>49-081-0360-02</t>
  </si>
  <si>
    <t>30-039-1650-16</t>
  </si>
  <si>
    <t>30-039-0950-02</t>
  </si>
  <si>
    <t>45-000-0000-40</t>
  </si>
  <si>
    <t>07-016-2280-46</t>
  </si>
  <si>
    <t>04-000-0000-46</t>
  </si>
  <si>
    <t>07-016-7900-45</t>
  </si>
  <si>
    <t>40-056-0010-26</t>
  </si>
  <si>
    <t>13-014-0010-26</t>
  </si>
  <si>
    <t>20-097-0050-26</t>
  </si>
  <si>
    <t>20-083-0020-26</t>
  </si>
  <si>
    <t>40-031-0010-26</t>
  </si>
  <si>
    <t>21-100-0050-26</t>
  </si>
  <si>
    <t>26-034-3170-04</t>
  </si>
  <si>
    <t>44-063-0260-04</t>
  </si>
  <si>
    <t>11-012-004C-26</t>
  </si>
  <si>
    <t>19-022-0630-02</t>
  </si>
  <si>
    <t>07-016-1460-04</t>
  </si>
  <si>
    <t>07-016-1680-04</t>
  </si>
  <si>
    <t>19-022-1800-04</t>
  </si>
  <si>
    <t>30-073-2040-04</t>
  </si>
  <si>
    <t>05-016-0620-04</t>
  </si>
  <si>
    <t>19-022-0890-04</t>
  </si>
  <si>
    <t>19-022-0930-04</t>
  </si>
  <si>
    <t>19-022-0660-02</t>
  </si>
  <si>
    <t>11-087-0210-26</t>
  </si>
  <si>
    <t>13-014-0710-16</t>
  </si>
  <si>
    <t>13-058-1330-02</t>
  </si>
  <si>
    <t>01-001-0030-26</t>
  </si>
  <si>
    <t>31-045-3010-26</t>
  </si>
  <si>
    <t>32-038-0040-26</t>
  </si>
  <si>
    <t>40-000-0000-46</t>
  </si>
  <si>
    <t>53-102-7210-45</t>
  </si>
  <si>
    <t>50-082-1040-02</t>
  </si>
  <si>
    <t>53-090-0510-02</t>
  </si>
  <si>
    <t>07-016-1100-02</t>
  </si>
  <si>
    <t>13-058-2000-17</t>
  </si>
  <si>
    <t>13-058-1350-02</t>
  </si>
  <si>
    <t>30-077-1000-26</t>
  </si>
  <si>
    <t>39-074-1000-26</t>
  </si>
  <si>
    <t>08-008-3990-26</t>
  </si>
  <si>
    <t>09-010-0040-26</t>
  </si>
  <si>
    <t>56-099-0880-02</t>
  </si>
  <si>
    <t>56-099-0170-02</t>
  </si>
  <si>
    <t>11-015-0010-26</t>
  </si>
  <si>
    <t>45-079-1390-26</t>
  </si>
  <si>
    <t>45-079-1220-19</t>
  </si>
  <si>
    <t>17-054-0610-04</t>
  </si>
  <si>
    <t>07-016-1700-02</t>
  </si>
  <si>
    <t>07-016-1275-02</t>
  </si>
  <si>
    <t>21-028-0990-26</t>
  </si>
  <si>
    <t>34-049-1170-16</t>
  </si>
  <si>
    <t>34-049-1280-16</t>
  </si>
  <si>
    <t>44-063-1550-16</t>
  </si>
  <si>
    <t>07-016-2180-16</t>
  </si>
  <si>
    <t>19-022-0940-16</t>
  </si>
  <si>
    <t>19-022-0990-16</t>
  </si>
  <si>
    <t>06-016-0990-02</t>
  </si>
  <si>
    <t>32-038-0060-26</t>
  </si>
  <si>
    <t>15-016-2990-25</t>
  </si>
  <si>
    <t>12-013-0100-26</t>
  </si>
  <si>
    <t>12-013-0350-46</t>
  </si>
  <si>
    <t>17-020-0150-26</t>
  </si>
  <si>
    <t>24-032-0010-26</t>
  </si>
  <si>
    <t>30-091-0170-22</t>
  </si>
  <si>
    <t>41-057-0100-41</t>
  </si>
  <si>
    <t>41-057-0100-26</t>
  </si>
  <si>
    <t>28-037-1900-02</t>
  </si>
  <si>
    <t>45-067-0040-26</t>
  </si>
  <si>
    <t>05-016-0590-04</t>
  </si>
  <si>
    <t>07-016-2300-13</t>
  </si>
  <si>
    <t>07-016-1300-02</t>
  </si>
  <si>
    <t>19-022-0150-61</t>
  </si>
  <si>
    <t>17-053-4260-04</t>
  </si>
  <si>
    <t>45-079-0010-22</t>
  </si>
  <si>
    <t>07-016-1600-02</t>
  </si>
  <si>
    <t>30-091-0430-04</t>
  </si>
  <si>
    <t>04-101-3200-26</t>
  </si>
  <si>
    <t>53-102-1220-17</t>
  </si>
  <si>
    <t>11-087-003A-26</t>
  </si>
  <si>
    <t>21-100-0030-26</t>
  </si>
  <si>
    <t>32-038-2490-26</t>
  </si>
  <si>
    <t>47-071-1610-04</t>
  </si>
  <si>
    <t>56-099-201U-26</t>
  </si>
  <si>
    <t>53-090-0760-02</t>
  </si>
  <si>
    <t>44-063-0470-04</t>
  </si>
  <si>
    <t>08-089-7230-45</t>
  </si>
  <si>
    <t>11-018-0770-26</t>
  </si>
  <si>
    <t>19-022-2000-26</t>
  </si>
  <si>
    <t>19-022-2010-26</t>
  </si>
  <si>
    <t>26-029-0030-26</t>
  </si>
  <si>
    <t>31-045-3000-26</t>
  </si>
  <si>
    <t>24-047-3080-26</t>
  </si>
  <si>
    <t>01-001-0040-26</t>
  </si>
  <si>
    <t>21-044-0640-02</t>
  </si>
  <si>
    <t>08-089-2010-26</t>
  </si>
  <si>
    <t>26-034-3270-04</t>
  </si>
  <si>
    <t>28-006-0980-02</t>
  </si>
  <si>
    <t>13-014-0620-02</t>
  </si>
  <si>
    <t>54-092-1180-24</t>
  </si>
  <si>
    <t>19-022-0610-02</t>
  </si>
  <si>
    <t>39-055-0610-25</t>
  </si>
  <si>
    <t>53-090-7010-26</t>
  </si>
  <si>
    <t>35-050-0820-04</t>
  </si>
  <si>
    <t>34-049-1090-02</t>
  </si>
  <si>
    <t>16-019-4280-26</t>
  </si>
  <si>
    <t>33-094-7290-45</t>
  </si>
  <si>
    <t>39-074-0570-26</t>
  </si>
  <si>
    <t>53-090-7030-26</t>
  </si>
  <si>
    <t>28-006-1030-22</t>
  </si>
  <si>
    <t>06-016-2120-46</t>
  </si>
  <si>
    <t>30-039-0860-03</t>
  </si>
  <si>
    <t>34-049-0760-02</t>
  </si>
  <si>
    <t>03-025-0300-26</t>
  </si>
  <si>
    <t>35-050-0175-04</t>
  </si>
  <si>
    <t>53-090-0500-02</t>
  </si>
  <si>
    <t>47-052-1700-22</t>
  </si>
  <si>
    <t>07-016-1480-02</t>
  </si>
  <si>
    <t>07-016-1490-02</t>
  </si>
  <si>
    <t>30-091-0660-22</t>
  </si>
  <si>
    <t>32-038-0030-26</t>
  </si>
  <si>
    <t>19-022-0580-02</t>
  </si>
  <si>
    <t>30-073-3000-26</t>
  </si>
  <si>
    <t>48-072-3230-26</t>
  </si>
  <si>
    <t>19-022-5020-46</t>
  </si>
  <si>
    <t>19-022-0880-16</t>
  </si>
  <si>
    <t>50-082-1960-26</t>
  </si>
  <si>
    <t>04-101-3220-26</t>
  </si>
  <si>
    <t>17-053-2320-02</t>
  </si>
  <si>
    <t>17-053-2300-17</t>
  </si>
  <si>
    <t>08-000-0000-46</t>
  </si>
  <si>
    <t>35-050-0090-26</t>
  </si>
  <si>
    <t>41-057-0130-02</t>
  </si>
  <si>
    <t>41-057-0140-16</t>
  </si>
  <si>
    <t>47-098-0200-02</t>
  </si>
  <si>
    <t>08-043-1190-22</t>
  </si>
  <si>
    <t>05-016-0630-02</t>
  </si>
  <si>
    <t>49-081-0370-02</t>
  </si>
  <si>
    <t>53-090-3090-16</t>
  </si>
  <si>
    <t>53-090-0860-02</t>
  </si>
  <si>
    <t>05-016-0730-02</t>
  </si>
  <si>
    <t>50-082-1890-61</t>
  </si>
  <si>
    <t>50-082-7470-45</t>
  </si>
  <si>
    <t>50-082-1890-22</t>
  </si>
  <si>
    <t>11-015-8010-60</t>
  </si>
  <si>
    <t>11-015-7350-45</t>
  </si>
  <si>
    <t>08-008-3080-26</t>
  </si>
  <si>
    <t>11-023-0060-26</t>
  </si>
  <si>
    <t>03-011-0040-26</t>
  </si>
  <si>
    <t>20-024-0010-26</t>
  </si>
  <si>
    <t>41-057-0070-26</t>
  </si>
  <si>
    <t>09-010-0080-46</t>
  </si>
  <si>
    <t>03-025-0400-26</t>
  </si>
  <si>
    <t>30-002-0050-26</t>
  </si>
  <si>
    <t>07-016-1275-61</t>
  </si>
  <si>
    <t>53-102-0110-26</t>
  </si>
  <si>
    <t>20-083-0040-26</t>
  </si>
  <si>
    <t>19-022-2050-26</t>
  </si>
  <si>
    <t>48-072-3220-26</t>
  </si>
  <si>
    <t>06-016-4010-26</t>
  </si>
  <si>
    <t>30-039-1960-26</t>
  </si>
  <si>
    <t>56-099-2030-04</t>
  </si>
  <si>
    <t>34-049-0330-02</t>
  </si>
  <si>
    <t>47-098-0010-26</t>
  </si>
  <si>
    <t>07-016-1590-02</t>
  </si>
  <si>
    <t>47-071-2690-04</t>
  </si>
  <si>
    <t>53-102-1400-26</t>
  </si>
  <si>
    <t>05-016-0650-04</t>
  </si>
  <si>
    <t>05-016-0650-61</t>
  </si>
  <si>
    <t>05-016-2020-17</t>
  </si>
  <si>
    <t>07-016-2310-16</t>
  </si>
  <si>
    <t>07-016-1240-02</t>
  </si>
  <si>
    <t>21-028-1150-04</t>
  </si>
  <si>
    <t>07-016-1500-61</t>
  </si>
  <si>
    <t>34-049-8010-60</t>
  </si>
  <si>
    <t>20-096-2250-16</t>
  </si>
  <si>
    <t>20-096-1120-04</t>
  </si>
  <si>
    <t>56-099-0890-02</t>
  </si>
  <si>
    <t>05-016-0720-02</t>
  </si>
  <si>
    <t>48-072-2650-26</t>
  </si>
  <si>
    <t>13-041-0990-04</t>
  </si>
  <si>
    <t>19-022-1000-16</t>
  </si>
  <si>
    <t>13-041-0030-04</t>
  </si>
  <si>
    <t>53-102-0060-26</t>
  </si>
  <si>
    <t>09-010-0010-26</t>
  </si>
  <si>
    <t>30-002-7480-40</t>
  </si>
  <si>
    <t>30-002-7480-45</t>
  </si>
  <si>
    <t>17-053-0740-27</t>
  </si>
  <si>
    <t>12-013-0350-26</t>
  </si>
  <si>
    <t>07-016-1610-02</t>
  </si>
  <si>
    <t>07-016-1690-02</t>
  </si>
  <si>
    <t>09-027-0050-61</t>
  </si>
  <si>
    <t>06-016-0910-02</t>
  </si>
  <si>
    <t>07-016-1420-02</t>
  </si>
  <si>
    <t>47-071-2210-26</t>
  </si>
  <si>
    <t>01-069-8010-60</t>
  </si>
  <si>
    <t>34-049-1140-02</t>
  </si>
  <si>
    <t>44-063-0030-03</t>
  </si>
  <si>
    <t>31-045-3020-41</t>
  </si>
  <si>
    <t>56-099-157C-04</t>
  </si>
  <si>
    <t>21-028-1680-26</t>
  </si>
  <si>
    <t>21-000-0000-46</t>
  </si>
  <si>
    <t>01-069-0010-26</t>
  </si>
  <si>
    <t>06-016-0840-02</t>
  </si>
  <si>
    <t>13-041-8010-60</t>
  </si>
  <si>
    <t>50-082-0700-04</t>
  </si>
  <si>
    <t>50-082-0770-16</t>
  </si>
  <si>
    <t>08-089-1450-22</t>
  </si>
  <si>
    <t>34-049-0790-02</t>
  </si>
  <si>
    <t>20-083-0010-26</t>
  </si>
  <si>
    <t>08-043-1200-22</t>
  </si>
  <si>
    <t>33-048-2050-41</t>
  </si>
  <si>
    <t>33-048-2050-26</t>
  </si>
  <si>
    <t>20-030-0070-26</t>
  </si>
  <si>
    <t>28-037-2240-26</t>
  </si>
  <si>
    <t>24-032-072C-04</t>
  </si>
  <si>
    <t>24-032-0730-17</t>
  </si>
  <si>
    <t>34-049-0370-02</t>
  </si>
  <si>
    <t>20-096-0140-04</t>
  </si>
  <si>
    <t>07-016-1330-02</t>
  </si>
  <si>
    <t>28-037-2280-26</t>
  </si>
  <si>
    <t>31-045-3040-26</t>
  </si>
  <si>
    <t>16-019-4240-26</t>
  </si>
  <si>
    <t>54-092-0040-26</t>
  </si>
  <si>
    <t>53-102-0690-02</t>
  </si>
  <si>
    <t>13-014-0600-02</t>
  </si>
  <si>
    <t>30-039-1300-04</t>
  </si>
  <si>
    <t>09-027-0050-26</t>
  </si>
  <si>
    <t>09-010-1880-04</t>
  </si>
  <si>
    <t>40-056-0070-26</t>
  </si>
  <si>
    <t>19-022-0410-02</t>
  </si>
  <si>
    <t>19-022-0870-17</t>
  </si>
  <si>
    <t>05-016-0350-02</t>
  </si>
  <si>
    <t>05-016-0340-04</t>
  </si>
  <si>
    <t>05-016-0670-02</t>
  </si>
  <si>
    <t>21-044-0010-26</t>
  </si>
  <si>
    <t>19-022-0620-02</t>
  </si>
  <si>
    <t>13-041-0060-04</t>
  </si>
  <si>
    <t>35-050-0950-04</t>
  </si>
  <si>
    <t>41-057-0090-26</t>
  </si>
  <si>
    <t>50-082-1100-04</t>
  </si>
  <si>
    <t>34-049-1240-16</t>
  </si>
  <si>
    <t>32-046-0060-26</t>
  </si>
  <si>
    <t>34-049-0360-02</t>
  </si>
  <si>
    <t>34-049-0460-04</t>
  </si>
  <si>
    <t>34-049-1270-16</t>
  </si>
  <si>
    <t>20-097-0010-26</t>
  </si>
  <si>
    <t>40-031-0100-26</t>
  </si>
  <si>
    <t>51-065-2000-26</t>
  </si>
  <si>
    <t>01-075-0040-26</t>
  </si>
  <si>
    <t>24-032-7900-40</t>
  </si>
  <si>
    <t>24-032-1010-61</t>
  </si>
  <si>
    <t>34-049-0560-02</t>
  </si>
  <si>
    <t>28-006-5020-17</t>
  </si>
  <si>
    <t>26-034-3280-24</t>
  </si>
  <si>
    <t>20-033-0100-26</t>
  </si>
  <si>
    <t>49-081-0290-02</t>
  </si>
  <si>
    <t>20-035-0010-26</t>
  </si>
  <si>
    <t>04-101-1220-22</t>
  </si>
  <si>
    <t>50-082-1750-02</t>
  </si>
  <si>
    <t>20-083-0030-26</t>
  </si>
  <si>
    <t>44-063-0360-02</t>
  </si>
  <si>
    <t>17-054-0210-26</t>
  </si>
  <si>
    <t>44-063-0500-26</t>
  </si>
  <si>
    <t>07-016-1520-02</t>
  </si>
  <si>
    <t>53-060-1260-26</t>
  </si>
  <si>
    <t>34-049-0730-04</t>
  </si>
  <si>
    <t>07-016-1525-02</t>
  </si>
  <si>
    <t>17-064-0000-63</t>
  </si>
  <si>
    <t>39-000-0000-46</t>
  </si>
  <si>
    <t>39-055-0610-41</t>
  </si>
  <si>
    <t>35-059-0050-26</t>
  </si>
  <si>
    <t>28-037-8010-60</t>
  </si>
  <si>
    <t>09-010-0080-26</t>
  </si>
  <si>
    <t>21-100-0040-26</t>
  </si>
  <si>
    <t>32-046-0020-26</t>
  </si>
  <si>
    <t>17-064-0040-26</t>
  </si>
  <si>
    <t>16-019-4260-26</t>
  </si>
  <si>
    <t>50-082-1160-02</t>
  </si>
  <si>
    <t>41-057-0050-26</t>
  </si>
  <si>
    <t>03-068-0030-26</t>
  </si>
  <si>
    <t>06-016-0930-02</t>
  </si>
  <si>
    <t>16-019-4290-26</t>
  </si>
  <si>
    <t>19-022-1810-04</t>
  </si>
  <si>
    <t>19-022-0860-17</t>
  </si>
  <si>
    <t>48-072-3280-03</t>
  </si>
  <si>
    <t>56-099-033C-04</t>
  </si>
  <si>
    <t>07-016-2330-16</t>
  </si>
  <si>
    <t>07-016-1530-02</t>
  </si>
  <si>
    <t>04-101-2070-16</t>
  </si>
  <si>
    <t>54-092-0110-26</t>
  </si>
  <si>
    <t>07-016-1570-02</t>
  </si>
  <si>
    <t>44-063-1580-22</t>
  </si>
  <si>
    <t>12-017-0010-26</t>
  </si>
  <si>
    <t>15-016-2250-61</t>
  </si>
  <si>
    <t>48-072-3210-26</t>
  </si>
  <si>
    <t>48-072-3270-26</t>
  </si>
  <si>
    <t>53-060-1890-26</t>
  </si>
  <si>
    <t>26-034-3070-16</t>
  </si>
  <si>
    <t>16-019-4250-26</t>
  </si>
  <si>
    <t>19-022-2040-26</t>
  </si>
  <si>
    <t>07-016-1090-02</t>
  </si>
  <si>
    <t>16-019-4300-40</t>
  </si>
  <si>
    <t>32-000-0000-47</t>
  </si>
  <si>
    <t>32-038-0090-26</t>
  </si>
  <si>
    <t>32-038-8010-60</t>
  </si>
  <si>
    <t>32-038-0100-26</t>
  </si>
  <si>
    <t>13-095-0110-04</t>
  </si>
  <si>
    <t>19-022-0100-02</t>
  </si>
  <si>
    <t>13-058-0070-04</t>
  </si>
  <si>
    <t>06-016-2010-17</t>
  </si>
  <si>
    <t>30-000-0000-46</t>
  </si>
  <si>
    <t>01-069-1170-22</t>
  </si>
  <si>
    <t>30-077-8010-60</t>
  </si>
  <si>
    <t>20-096-0170-04</t>
  </si>
  <si>
    <t>12-040-0010-26</t>
  </si>
  <si>
    <t>40-042-1000-26</t>
  </si>
  <si>
    <t>08-043-7900-40</t>
  </si>
  <si>
    <t>44-063-0120-26</t>
  </si>
  <si>
    <t>21-100-0010-26</t>
  </si>
  <si>
    <t>56-099-0860-05</t>
  </si>
  <si>
    <t>56-099-2040-17</t>
  </si>
  <si>
    <t>21-061-0380-26</t>
  </si>
  <si>
    <t>31-045-3020-26</t>
  </si>
  <si>
    <t>32-000-0000-40</t>
  </si>
  <si>
    <t>32-000-0000-46</t>
  </si>
  <si>
    <t>32-046-8500-60</t>
  </si>
  <si>
    <t>32-046-1110-25</t>
  </si>
  <si>
    <t>11-023-0030-26</t>
  </si>
  <si>
    <t>13-058-8010-60</t>
  </si>
  <si>
    <t>19-022-0200-02</t>
  </si>
  <si>
    <t>13-058-0020-03</t>
  </si>
  <si>
    <t>05-016-0380-02</t>
  </si>
  <si>
    <t>28-037-2290-26</t>
  </si>
  <si>
    <t>34-049-0960-04</t>
  </si>
  <si>
    <t>47-071-1440-03</t>
  </si>
  <si>
    <t>04-101-1310-04</t>
  </si>
  <si>
    <t>07-016-1400-02</t>
  </si>
  <si>
    <t>16-000-0000-46</t>
  </si>
  <si>
    <t>33-048-8010-60</t>
  </si>
  <si>
    <t>33-048-2020-26</t>
  </si>
  <si>
    <t>06-016-0940-02</t>
  </si>
  <si>
    <t>06-016-1020-02</t>
  </si>
  <si>
    <t>06-016-1050-02</t>
  </si>
  <si>
    <t>26-034-3470-04</t>
  </si>
  <si>
    <t>28-006-3030-26</t>
  </si>
  <si>
    <t>35-050-1220-02</t>
  </si>
  <si>
    <t>35-050-1200-40</t>
  </si>
  <si>
    <t>35-050-1200-17</t>
  </si>
  <si>
    <t>28-006-0940-04</t>
  </si>
  <si>
    <t>06-016-2040-61</t>
  </si>
  <si>
    <t>06-016-1060-02</t>
  </si>
  <si>
    <t>34-049-0650-02</t>
  </si>
  <si>
    <t>34-049-7900-46</t>
  </si>
  <si>
    <t>34-049-7900-40</t>
  </si>
  <si>
    <t>34-049-1150-16</t>
  </si>
  <si>
    <t>34-049-0670-05</t>
  </si>
  <si>
    <t>19-022-1080-16</t>
  </si>
  <si>
    <t>34-049-0410-04</t>
  </si>
  <si>
    <t>34-049-0950-26</t>
  </si>
  <si>
    <t>07-016-1580-02</t>
  </si>
  <si>
    <t>56-099-070C-04</t>
  </si>
  <si>
    <t>35-050-0000-61</t>
  </si>
  <si>
    <t>12-051-0200-26</t>
  </si>
  <si>
    <t>50-082-0090-26</t>
  </si>
  <si>
    <t>47-052-1700-61</t>
  </si>
  <si>
    <t>35-050-0010-26</t>
  </si>
  <si>
    <t>07-016-2100-17</t>
  </si>
  <si>
    <t>07-016-113A-02</t>
  </si>
  <si>
    <t>08-089-2020-26</t>
  </si>
  <si>
    <t>17-064-0020-26</t>
  </si>
  <si>
    <t>26-029-0970-26</t>
  </si>
  <si>
    <t>17-064-0070-26</t>
  </si>
  <si>
    <t>06-016-0830-61</t>
  </si>
  <si>
    <t>06-016-2120-16</t>
  </si>
  <si>
    <t>01-001-0020-26</t>
  </si>
  <si>
    <t>34-049-0700-02</t>
  </si>
  <si>
    <t>30-091-0160-04</t>
  </si>
  <si>
    <t>48-072-3100-16</t>
  </si>
  <si>
    <t>48-072-3160-04</t>
  </si>
  <si>
    <t>17-054-4040-16</t>
  </si>
  <si>
    <t>07-016-1560-02</t>
  </si>
  <si>
    <t>17-054-0270-02</t>
  </si>
  <si>
    <t>56-099-2100-16</t>
  </si>
  <si>
    <t>17-054-4040-46</t>
  </si>
  <si>
    <t>17-054-4040-41</t>
  </si>
  <si>
    <t>34-049-1030-02</t>
  </si>
  <si>
    <t>56-099-8430-60</t>
  </si>
  <si>
    <t>05-016-0740-02</t>
  </si>
  <si>
    <t>06-016-0920-02</t>
  </si>
  <si>
    <t>24-047-0900-04</t>
  </si>
  <si>
    <t>19-022-2020-26</t>
  </si>
  <si>
    <t>03-068-0120-26</t>
  </si>
  <si>
    <t>17-053-0900-41</t>
  </si>
  <si>
    <t>17-053-0900-46</t>
  </si>
  <si>
    <t>17-053-0000-61</t>
  </si>
  <si>
    <t>56-099-0880-61</t>
  </si>
  <si>
    <t>56-099-0910-02</t>
  </si>
  <si>
    <t>56-099-2050-17</t>
  </si>
  <si>
    <t>19-022-0440-02</t>
  </si>
  <si>
    <t>35-050-4250-26</t>
  </si>
  <si>
    <t>53-102-0210-26</t>
  </si>
  <si>
    <t>09-010-1420-04</t>
  </si>
  <si>
    <t>06-016-1030-02</t>
  </si>
  <si>
    <t>06-016-2040-17</t>
  </si>
  <si>
    <t>26-062-1850-26</t>
  </si>
  <si>
    <t>39-055-0610-61</t>
  </si>
  <si>
    <t>41-057-7450-45</t>
  </si>
  <si>
    <t>41-057-0090-61</t>
  </si>
  <si>
    <t>41-057-0000-63</t>
  </si>
  <si>
    <t>41-057-0120-26</t>
  </si>
  <si>
    <t>19-022-0600-02</t>
  </si>
  <si>
    <t>09-010-0030-26</t>
  </si>
  <si>
    <t>05-016-2070-17</t>
  </si>
  <si>
    <t>28-006-0840-04</t>
  </si>
  <si>
    <t>56-099-1140-02</t>
  </si>
  <si>
    <t>06-016-0830-02</t>
  </si>
  <si>
    <t>32-046-0050-26</t>
  </si>
  <si>
    <t>44-063-1540-16</t>
  </si>
  <si>
    <t>44-063-1650-03</t>
  </si>
  <si>
    <t>21-100-0020-26</t>
  </si>
  <si>
    <t>13-000-0000-46</t>
  </si>
  <si>
    <t>50-082-0400-26</t>
  </si>
  <si>
    <t>39-055-0020-26</t>
  </si>
  <si>
    <t>19-022-0150-02</t>
  </si>
  <si>
    <t>35-050-1500-02</t>
  </si>
  <si>
    <t>11-012-002C-26</t>
  </si>
  <si>
    <t>11-012-003C-26</t>
  </si>
  <si>
    <t>50-082-0190-26</t>
  </si>
  <si>
    <t>21-061-0010-26</t>
  </si>
  <si>
    <t>07-016-1620-02</t>
  </si>
  <si>
    <t>11-015-0020-26</t>
  </si>
  <si>
    <t>06-016-0890-02</t>
  </si>
  <si>
    <t>24-032-002C-02</t>
  </si>
  <si>
    <t>13-041-0120-04</t>
  </si>
  <si>
    <t>44-063-0150-04</t>
  </si>
  <si>
    <t>44-063-1560-16</t>
  </si>
  <si>
    <t>44-000-0000-46</t>
  </si>
  <si>
    <t>17-064-0050-26</t>
  </si>
  <si>
    <t>17-064-0870-46</t>
  </si>
  <si>
    <t>19-022-0110-02</t>
  </si>
  <si>
    <t>35-050-2890-04</t>
  </si>
  <si>
    <t>35-050-2800-17</t>
  </si>
  <si>
    <t>33-066-4040-26</t>
  </si>
  <si>
    <t>01-069-0110-26</t>
  </si>
  <si>
    <t>30-077-1010-26</t>
  </si>
  <si>
    <t>39-055-0150-26</t>
  </si>
  <si>
    <t>47-071-2230-26</t>
  </si>
  <si>
    <t>53-102-0010-04</t>
  </si>
  <si>
    <t>35-059-0070-26</t>
  </si>
  <si>
    <t>07-016-1430-02</t>
  </si>
  <si>
    <t>03-011-8010-60</t>
  </si>
  <si>
    <t>31-045-3030-61</t>
  </si>
  <si>
    <t>53-060-1910-26</t>
  </si>
  <si>
    <t>32-038-1240-26</t>
  </si>
  <si>
    <t>34-049-0240-04</t>
  </si>
  <si>
    <t>35-050-2100-04</t>
  </si>
  <si>
    <t>50-082-1600-04</t>
  </si>
  <si>
    <t>24-032-2010-04</t>
  </si>
  <si>
    <t>24-032-1110-16</t>
  </si>
  <si>
    <t>56-099-1590-02</t>
  </si>
  <si>
    <t>49-081-0400-22</t>
  </si>
  <si>
    <t>32-046-0010-26</t>
  </si>
  <si>
    <t>33-094-2380-26</t>
  </si>
  <si>
    <t>48-072-0700-02</t>
  </si>
  <si>
    <t>39-074-0250-26</t>
  </si>
  <si>
    <t>47-098-1450-04</t>
  </si>
  <si>
    <t>07-016-2180-46</t>
  </si>
  <si>
    <t>24-032-1010-16</t>
  </si>
  <si>
    <t>24-032-0540-02</t>
  </si>
  <si>
    <t>47-098-0060-26</t>
  </si>
  <si>
    <t>03-011-0010-26</t>
  </si>
  <si>
    <t>53-090-7090-26</t>
  </si>
  <si>
    <t>05-016-0700-02</t>
  </si>
  <si>
    <t>40-056-0050-26</t>
  </si>
  <si>
    <t>05-016-0570-02</t>
  </si>
  <si>
    <t>13-041-0800-02</t>
  </si>
  <si>
    <t>17-054-0230-26</t>
  </si>
  <si>
    <t>13-000-0000-41</t>
  </si>
  <si>
    <t>13-041-2010-17</t>
  </si>
  <si>
    <t>39-055-0030-26</t>
  </si>
  <si>
    <t>03-003-0010-26</t>
  </si>
  <si>
    <t>34-049-1200-13</t>
  </si>
  <si>
    <t>34-049-0750-02</t>
  </si>
  <si>
    <t>30-039-1860-26</t>
  </si>
  <si>
    <t>53-090-1020-02</t>
  </si>
  <si>
    <t>19-022-2030-26</t>
  </si>
  <si>
    <t>13-095-0490-04</t>
  </si>
  <si>
    <t>13-095-0990-16</t>
  </si>
  <si>
    <t>26-034-3250-26</t>
  </si>
  <si>
    <t>11-018-0030-26</t>
  </si>
  <si>
    <t>24-032-024C-04</t>
  </si>
  <si>
    <t>50-082-0600-26</t>
  </si>
  <si>
    <t>51-084-0160-26</t>
  </si>
  <si>
    <t>17-054-0880-02</t>
  </si>
  <si>
    <t>20-096-0060-04</t>
  </si>
  <si>
    <t>56-099-1220-02</t>
  </si>
  <si>
    <t>21-044-0320-03</t>
  </si>
  <si>
    <t>05-016-2030-17</t>
  </si>
  <si>
    <t>24-047-0660-04</t>
  </si>
  <si>
    <t>24-047-0180-16</t>
  </si>
  <si>
    <t>05-016-0710-02</t>
  </si>
  <si>
    <t>05-016-8070-60</t>
  </si>
  <si>
    <t>05-016-2190-17</t>
  </si>
  <si>
    <t>44-063-0020-03</t>
  </si>
  <si>
    <t>03-068-0220-26</t>
  </si>
  <si>
    <t>06-016-0800-02</t>
  </si>
  <si>
    <t>20-097-0030-26</t>
  </si>
  <si>
    <t>04-004-2000-26</t>
  </si>
  <si>
    <t>34-049-1870-26</t>
  </si>
  <si>
    <t>12-013-0250-26</t>
  </si>
  <si>
    <t>19-022-8020-60</t>
  </si>
  <si>
    <t>40-031-0030-26</t>
  </si>
  <si>
    <t>40-056-0340-26</t>
  </si>
  <si>
    <t>07-016-1170-02</t>
  </si>
  <si>
    <t>34-049-1120-02</t>
  </si>
  <si>
    <t>05-016-2070-46</t>
  </si>
  <si>
    <t>13-014-1860-02</t>
  </si>
  <si>
    <t>20-096-2000-26</t>
  </si>
  <si>
    <t>05-016-0270-02</t>
  </si>
  <si>
    <t>05-016-0280-02</t>
  </si>
  <si>
    <t>05-016-0300-02</t>
  </si>
  <si>
    <t>31-045-3010-46</t>
  </si>
  <si>
    <t>34-049-8040-60</t>
  </si>
  <si>
    <t>05-016-2250-17</t>
  </si>
  <si>
    <t>05-016-2140-46</t>
  </si>
  <si>
    <t>08-043-2100-61</t>
  </si>
  <si>
    <t>05-016-8050-60</t>
  </si>
  <si>
    <t>40-056-0020-26</t>
  </si>
  <si>
    <t>16-019-4270-61</t>
  </si>
  <si>
    <t>48-072-0630-02</t>
  </si>
  <si>
    <t>03-011-8020-60</t>
  </si>
  <si>
    <t>50-082-0900-04</t>
  </si>
  <si>
    <t>50-082-2030-17</t>
  </si>
  <si>
    <t>48-072-0680-02</t>
  </si>
  <si>
    <t>34-049-0680-02</t>
  </si>
  <si>
    <t>07-016-2290-16</t>
  </si>
  <si>
    <t>07-016-1230-02</t>
  </si>
  <si>
    <t>06-016-2000-13</t>
  </si>
  <si>
    <t>06-016-0970-02</t>
  </si>
  <si>
    <t>13-095-0010-04</t>
  </si>
  <si>
    <t>11-015-0050-26</t>
  </si>
  <si>
    <t>54-092-0760-26</t>
  </si>
  <si>
    <t>12-017-0040-26</t>
  </si>
  <si>
    <t>17-053-4350-04</t>
  </si>
  <si>
    <t>13-058-7220-26</t>
  </si>
  <si>
    <t>47-071-8010-60</t>
  </si>
  <si>
    <t>35-050-1250-02</t>
  </si>
  <si>
    <t>20-000-0000-46</t>
  </si>
  <si>
    <t>28-006-0170-04</t>
  </si>
  <si>
    <t>28-006-5050-16</t>
  </si>
  <si>
    <t>03-026-2030-41</t>
  </si>
  <si>
    <t>45-000-0000-46</t>
  </si>
  <si>
    <t>11-070-3020-26</t>
  </si>
  <si>
    <t>17-064-0160-26</t>
  </si>
  <si>
    <t>13-041-0050-04</t>
  </si>
  <si>
    <t>08-089-2030-26</t>
  </si>
  <si>
    <t>47-071-2200-26</t>
  </si>
  <si>
    <t>28-037-2230-26</t>
  </si>
  <si>
    <t>07-016-1350-02</t>
  </si>
  <si>
    <t>35-050-1410-02</t>
  </si>
  <si>
    <t>35-050-1400-17</t>
  </si>
  <si>
    <t>05-016-0150-04</t>
  </si>
  <si>
    <t>12-017-0030-26</t>
  </si>
  <si>
    <t>07-016-1180-04</t>
  </si>
  <si>
    <t>07-016-1280-02</t>
  </si>
  <si>
    <t>03-011-0080-26</t>
  </si>
  <si>
    <t>03-068-0020-26</t>
  </si>
  <si>
    <t>11-023-0040-26</t>
  </si>
  <si>
    <t>11-023-0950-25</t>
  </si>
  <si>
    <t>07-016-1630-02</t>
  </si>
  <si>
    <t>05-016-0640-04</t>
  </si>
  <si>
    <t>13-058-1000-26</t>
  </si>
  <si>
    <t>47-052-2710-26</t>
  </si>
  <si>
    <t>51-084-0110-26</t>
  </si>
  <si>
    <t>09-027-0100-26</t>
  </si>
  <si>
    <t>01-001-0010-26</t>
  </si>
  <si>
    <t>08-089-2000-26</t>
  </si>
  <si>
    <t>04-101-3210-26</t>
  </si>
  <si>
    <t>53-090-3030-16</t>
  </si>
  <si>
    <t>53-090-1080-02</t>
  </si>
  <si>
    <t>32-046-2590-04</t>
  </si>
  <si>
    <t>06-016-0790-02</t>
  </si>
  <si>
    <t>48-000-0000-46</t>
  </si>
  <si>
    <t>48-072-3250-26</t>
  </si>
  <si>
    <t>48-072-1500-25</t>
  </si>
  <si>
    <t>56-099-207U-26</t>
  </si>
  <si>
    <t>45-079-1320-61</t>
  </si>
  <si>
    <t>35-050-1240-02</t>
  </si>
  <si>
    <t>01-075-0100-26</t>
  </si>
  <si>
    <t>30-073-1010-16</t>
  </si>
  <si>
    <t>30-073-0500-02</t>
  </si>
  <si>
    <t>56-099-2020-22</t>
  </si>
  <si>
    <t>24-047-0880-61</t>
  </si>
  <si>
    <t>24-047-0880-26</t>
  </si>
  <si>
    <t>01-075-0030-26</t>
  </si>
  <si>
    <t>48-072-0690-02</t>
  </si>
  <si>
    <t>51-084-0080-26</t>
  </si>
  <si>
    <t>48-072-0620-02</t>
  </si>
  <si>
    <t>06-016-1070-02</t>
  </si>
  <si>
    <t>47-071-2220-26</t>
  </si>
  <si>
    <t>17-053-4290-04</t>
  </si>
  <si>
    <t>17-053-0900-17</t>
  </si>
  <si>
    <t>50-082-1050-02</t>
  </si>
  <si>
    <t>20-076-0010-26</t>
  </si>
  <si>
    <t>51-065-2020-26</t>
  </si>
  <si>
    <t>07-016-1435-02</t>
  </si>
  <si>
    <t>54-092-0100-26</t>
  </si>
  <si>
    <t>17-053-0080-26</t>
  </si>
  <si>
    <t>45-079-1340-04</t>
  </si>
  <si>
    <t>44-063-0460-03</t>
  </si>
  <si>
    <t>04-101-1330-04</t>
  </si>
  <si>
    <t>07-016-1440-02</t>
  </si>
  <si>
    <t>09-010-1970-04</t>
  </si>
  <si>
    <t>28-006-1150-02</t>
  </si>
  <si>
    <t>28-006-5000-15</t>
  </si>
  <si>
    <t>48-072-3260-26</t>
  </si>
  <si>
    <t>47-098-0030-26</t>
  </si>
  <si>
    <t>05-016-0230-02</t>
  </si>
  <si>
    <t>06-016-8030-60</t>
  </si>
  <si>
    <t>06-016-2090-17</t>
  </si>
  <si>
    <t>35-078-5350-26</t>
  </si>
  <si>
    <t>49-081-0300-46</t>
  </si>
  <si>
    <t>19-022-0160-02</t>
  </si>
  <si>
    <t>01-001-1720-41</t>
  </si>
  <si>
    <t>01-001-1720-22</t>
  </si>
  <si>
    <t>33-048-2080-26</t>
  </si>
  <si>
    <t>13-058-0010-03</t>
  </si>
  <si>
    <t>03-026-2040-26</t>
  </si>
  <si>
    <t>53-090-0980-02</t>
  </si>
  <si>
    <t>09-010-1370-02</t>
  </si>
  <si>
    <t>09-010-1930-17</t>
  </si>
  <si>
    <t>07-016-2200-17</t>
  </si>
  <si>
    <t>45-079-1320-26</t>
  </si>
  <si>
    <t>12-051-0100-26</t>
  </si>
  <si>
    <t>56-099-255U-26</t>
  </si>
  <si>
    <t>51-084-7310-45</t>
  </si>
  <si>
    <t>41-057-8010-60</t>
  </si>
  <si>
    <t>13-000-0000-47</t>
  </si>
  <si>
    <t>06-016-0845-02</t>
  </si>
  <si>
    <t>07-016-2270-17</t>
  </si>
  <si>
    <t>12-080-0010-26</t>
  </si>
  <si>
    <t>56-099-088A-02</t>
  </si>
  <si>
    <t>44-063-1570-16</t>
  </si>
  <si>
    <t>07-016-1220-02</t>
  </si>
  <si>
    <t>17-064-0190-26</t>
  </si>
  <si>
    <t>06-016-2340-16</t>
  </si>
  <si>
    <t>44-063-0180-04</t>
  </si>
  <si>
    <t>47-098-0020-26</t>
  </si>
  <si>
    <t>06-016-0900-02</t>
  </si>
  <si>
    <t>06-016-0855-02</t>
  </si>
  <si>
    <t>08-043-2100-26</t>
  </si>
  <si>
    <t>05-016-0260-02</t>
  </si>
  <si>
    <t>49-081-1000-26</t>
  </si>
  <si>
    <t>06-016-0960-02</t>
  </si>
  <si>
    <t>06-016-2080-17</t>
  </si>
  <si>
    <t>51-084-0140-26</t>
  </si>
  <si>
    <t>53-102-0020-04</t>
  </si>
  <si>
    <t>53-102-0600-26</t>
  </si>
  <si>
    <t>53-090-0850-02</t>
  </si>
  <si>
    <t>12-017-0020-26</t>
  </si>
  <si>
    <t>47-071-2310-04</t>
  </si>
  <si>
    <t>47-071-2120-17</t>
  </si>
  <si>
    <t>51-084-003A-26</t>
  </si>
  <si>
    <t>47-098-0130-02</t>
  </si>
  <si>
    <t>47-098-3010-17</t>
  </si>
  <si>
    <t>49-081-0410-25</t>
  </si>
  <si>
    <t>56-099-0840-02</t>
  </si>
  <si>
    <t>04-101-2050-25</t>
  </si>
  <si>
    <t>49-081-3000-26</t>
  </si>
  <si>
    <t>04-101-1400-04</t>
  </si>
  <si>
    <t>13-041-0020-04</t>
  </si>
  <si>
    <t>34-049-0720-02</t>
  </si>
  <si>
    <t>17-053-4250-04</t>
  </si>
  <si>
    <t>19-022-0120-02</t>
  </si>
  <si>
    <t>06-016-0780-02</t>
  </si>
  <si>
    <t>54-092-0070-26</t>
  </si>
  <si>
    <t>34-049-1160-26</t>
  </si>
  <si>
    <t>41-057-0010-26</t>
  </si>
  <si>
    <t>09-010-8010-60</t>
  </si>
  <si>
    <t>35-050-2300-04</t>
  </si>
  <si>
    <t>13-058-6000-16</t>
  </si>
  <si>
    <t>13-058-1110-02</t>
  </si>
  <si>
    <t>19-022-0480-02</t>
  </si>
  <si>
    <t>54-092-5120-26</t>
  </si>
  <si>
    <t>13-058-5010-26</t>
  </si>
  <si>
    <t>07-016-1720-02</t>
  </si>
  <si>
    <t>16-019-4300-26</t>
  </si>
  <si>
    <t>51-084-0100-61</t>
  </si>
  <si>
    <t>39-055-0090-26</t>
  </si>
  <si>
    <t>24-032-060C-04</t>
  </si>
  <si>
    <t>17-053-4380-04</t>
  </si>
  <si>
    <t>08-043-2110-26</t>
  </si>
  <si>
    <t>05-016-0540-04</t>
  </si>
  <si>
    <t>06-016-0810-02</t>
  </si>
  <si>
    <t>19-022-8030-60</t>
  </si>
  <si>
    <t>26-085-0050-26</t>
  </si>
  <si>
    <t>01-086-0020-26</t>
  </si>
  <si>
    <t>19-022-0450-02</t>
  </si>
  <si>
    <t>31-045-0460-22</t>
  </si>
  <si>
    <t>13-058-0100-04</t>
  </si>
  <si>
    <t>35-050-1700-04</t>
  </si>
  <si>
    <t>35-050-1600-17</t>
  </si>
  <si>
    <t>35-050-0020-26</t>
  </si>
  <si>
    <t>21-028-1960-26</t>
  </si>
  <si>
    <t>30-091-0840-26</t>
  </si>
  <si>
    <t>11-087-0040-26</t>
  </si>
  <si>
    <t>49-081-2000-26</t>
  </si>
  <si>
    <t>11-023-0010-26</t>
  </si>
  <si>
    <t>50-082-0850-02</t>
  </si>
  <si>
    <t>04-101-1340-04</t>
  </si>
  <si>
    <t>50-082-1810-02</t>
  </si>
  <si>
    <t>49-081-0340-02</t>
  </si>
  <si>
    <t>05-016-0680-02</t>
  </si>
  <si>
    <t>05-016-0690-02</t>
  </si>
  <si>
    <t>05-016-0735-02</t>
  </si>
  <si>
    <t>50-082-1300-04</t>
  </si>
  <si>
    <t>16-019-4320-26</t>
  </si>
  <si>
    <t>13-058-4010-26</t>
  </si>
  <si>
    <t>12-017-8010-60</t>
  </si>
  <si>
    <t>03-011-0140-24</t>
  </si>
  <si>
    <t>07-016-1500-02</t>
  </si>
  <si>
    <t>07-016-1510-02</t>
  </si>
  <si>
    <t>40-056-8010-60</t>
  </si>
  <si>
    <t>53-090-1370-02</t>
  </si>
  <si>
    <t>56-099-030C-61</t>
  </si>
  <si>
    <t>24-032-0740-03</t>
  </si>
  <si>
    <t>26-034-3370-26</t>
  </si>
  <si>
    <t>07-016-1420-61</t>
  </si>
  <si>
    <t>40-056-0090-26</t>
  </si>
  <si>
    <t>50-082-7460-45</t>
  </si>
  <si>
    <t>45-079-1400-26</t>
  </si>
  <si>
    <t>01-001-1720-61</t>
  </si>
  <si>
    <t>48-072-0000-61</t>
  </si>
  <si>
    <t>34-049-8250-60</t>
  </si>
  <si>
    <t>44-063-8010-60</t>
  </si>
  <si>
    <t>07-016-8020-60</t>
  </si>
  <si>
    <t>26-029-0040-26</t>
  </si>
  <si>
    <t>13-041-1780-04</t>
  </si>
  <si>
    <t>53-090-6060-04</t>
  </si>
  <si>
    <t>28-006-0990-04</t>
  </si>
  <si>
    <t>51-084-1860-25</t>
  </si>
  <si>
    <t>32-046-2560-04</t>
  </si>
  <si>
    <t>32-046-3020-16</t>
  </si>
  <si>
    <t>31-045-3030-26</t>
  </si>
  <si>
    <t>03-026-2020-26</t>
  </si>
  <si>
    <t>32-046-2580-04</t>
  </si>
  <si>
    <t>09-010-1690-04</t>
  </si>
  <si>
    <t>09-010-3050-16</t>
  </si>
  <si>
    <t>50-082-0300-03</t>
  </si>
  <si>
    <t>13-014-1415-02</t>
  </si>
  <si>
    <t>28-088-1000-26</t>
  </si>
  <si>
    <t>35-050-7200-45</t>
  </si>
  <si>
    <t>40-056-0060-26</t>
  </si>
  <si>
    <t>45-079-1380-26</t>
  </si>
  <si>
    <t>07-016-1940-02</t>
  </si>
  <si>
    <t>47-098-0050-26</t>
  </si>
  <si>
    <t>47-052-2200-02</t>
  </si>
  <si>
    <t>11-087-005A-26</t>
  </si>
  <si>
    <t>08-043-2060-26</t>
  </si>
  <si>
    <t>35-050-0440-02</t>
  </si>
  <si>
    <t>35-050-0400-17</t>
  </si>
  <si>
    <t>11-070-3000-26</t>
  </si>
  <si>
    <t>13-041-0790-02</t>
  </si>
  <si>
    <t>56-099-1610-02</t>
  </si>
  <si>
    <t>07-016-1040-02</t>
  </si>
  <si>
    <t>07-016-1710-02</t>
  </si>
  <si>
    <t>05-016-0290-02</t>
  </si>
  <si>
    <t>16-019-4270-26</t>
  </si>
  <si>
    <t>56-099-0900-02</t>
  </si>
  <si>
    <t>30-073-0050-02</t>
  </si>
  <si>
    <t>03-011-0030-26</t>
  </si>
  <si>
    <t>53-000-0000-46</t>
  </si>
  <si>
    <t>53-090-3090-61</t>
  </si>
  <si>
    <t>03-025-0500-26</t>
  </si>
  <si>
    <t>09-010-1300-04</t>
  </si>
  <si>
    <t>21-028-1740-26</t>
  </si>
  <si>
    <t>07-016-2150-17</t>
  </si>
  <si>
    <t>07-016-1540-02</t>
  </si>
  <si>
    <t>07-016-2050-17</t>
  </si>
  <si>
    <t>56-099-7110-45</t>
  </si>
  <si>
    <t>09-010-0070-26</t>
  </si>
  <si>
    <t>35-050-0790-04</t>
  </si>
  <si>
    <t>05-016-2110-17</t>
  </si>
  <si>
    <t>05-016-2140-17</t>
  </si>
  <si>
    <t>53-090-7020-26</t>
  </si>
  <si>
    <t>51-084-0010-26</t>
  </si>
  <si>
    <t>17-053-006J-26</t>
  </si>
  <si>
    <t>17-064-0030-26</t>
  </si>
  <si>
    <t>41-057-0020-26</t>
  </si>
  <si>
    <t>30-039-1760-26</t>
  </si>
  <si>
    <t>17-064-0070-61</t>
  </si>
  <si>
    <t>30-039-1860-61</t>
  </si>
  <si>
    <t>01-069-0270-26</t>
  </si>
  <si>
    <t>56-099-030C-04</t>
  </si>
  <si>
    <t>11-021-3010-26</t>
  </si>
  <si>
    <t>12-000-0000-46</t>
  </si>
  <si>
    <t>01-009-7000-45</t>
  </si>
  <si>
    <t>34-049-1130-17</t>
  </si>
  <si>
    <t>06-016-0860-02</t>
  </si>
  <si>
    <t>56-099-0810-02</t>
  </si>
  <si>
    <t>33-094-3040-26</t>
  </si>
  <si>
    <t>49-081-0300-41</t>
  </si>
  <si>
    <t>49-081-0300-17</t>
  </si>
  <si>
    <t>30-039-1400-04</t>
  </si>
  <si>
    <t>09-010-1160-22</t>
  </si>
  <si>
    <t>26-029-0020-26</t>
  </si>
  <si>
    <t>31-000-0000-46</t>
  </si>
  <si>
    <t>56-099-365U-26</t>
  </si>
  <si>
    <t>45-067-0030-26</t>
  </si>
  <si>
    <t>03-026-2030-26</t>
  </si>
  <si>
    <t>41-057-0030-26</t>
  </si>
  <si>
    <t>54-092-8010-60</t>
  </si>
  <si>
    <t>54-092-7400-45</t>
  </si>
  <si>
    <t>21-044-1330-17</t>
  </si>
  <si>
    <t>21-044-0550-02</t>
  </si>
  <si>
    <t>11-021-3020-26</t>
  </si>
  <si>
    <t>01-009-0640-26</t>
  </si>
  <si>
    <t>07-016-1470-02</t>
  </si>
  <si>
    <t>20-097-8010-60</t>
  </si>
  <si>
    <t>20-093-3480-26</t>
  </si>
  <si>
    <t>35-050-1950-04</t>
  </si>
  <si>
    <t>35-050-1850-04</t>
  </si>
  <si>
    <t>13-041-0010-26</t>
  </si>
  <si>
    <t>08-043-2050-26</t>
  </si>
  <si>
    <t>34-049-1210-17</t>
  </si>
  <si>
    <t>39-055-0110-26</t>
  </si>
  <si>
    <t>26-034-3160-26</t>
  </si>
  <si>
    <t>53-090-3080-16</t>
  </si>
  <si>
    <t>53-090-0520-02</t>
  </si>
  <si>
    <t>45-067-0050-26</t>
  </si>
  <si>
    <t>34-049-1180-26</t>
  </si>
  <si>
    <t>34-049-0600-26</t>
  </si>
  <si>
    <t>01-069-0060-26</t>
  </si>
  <si>
    <t>20-096-1000-26</t>
  </si>
  <si>
    <t>13-014-0030-26</t>
  </si>
  <si>
    <t>08-008-3140-26</t>
  </si>
  <si>
    <t>33-036-2350-26</t>
  </si>
  <si>
    <t>26-062-0000-61</t>
  </si>
  <si>
    <t>01-001-1720-46</t>
  </si>
  <si>
    <t>19-022-0330-02</t>
  </si>
  <si>
    <t>17-054-0920-04</t>
  </si>
  <si>
    <t>05-016-0310-02</t>
  </si>
  <si>
    <t>26-062-1030-26</t>
  </si>
  <si>
    <t>13-095-0100-26</t>
  </si>
  <si>
    <t>06-016-0925-02</t>
  </si>
  <si>
    <t>26-000-0000-46</t>
  </si>
  <si>
    <t>01-075-0120-26</t>
  </si>
  <si>
    <t>06-016-1010-02</t>
  </si>
  <si>
    <t>54-092-0020-26</t>
  </si>
  <si>
    <t>28-037-2300-26</t>
  </si>
  <si>
    <t>05-016-0210-04</t>
  </si>
  <si>
    <t>47-098-0050-46</t>
  </si>
  <si>
    <t>50-082-1150-02</t>
  </si>
  <si>
    <t>56-000-0000-40</t>
  </si>
  <si>
    <t>56-099-0920-02</t>
  </si>
  <si>
    <t>33-048-2100-26</t>
  </si>
  <si>
    <t>21-100-8010-46</t>
  </si>
  <si>
    <t>21-100-8010-60</t>
  </si>
  <si>
    <t>51-084-0150-26</t>
  </si>
  <si>
    <t>13-014-0460-02</t>
  </si>
  <si>
    <t>07-016-1080-02</t>
  </si>
  <si>
    <t>05-016-0390-61</t>
  </si>
  <si>
    <t>05-016-0390-02</t>
  </si>
  <si>
    <t>56-099-209U-26</t>
  </si>
  <si>
    <t>01-086-0010-26</t>
  </si>
  <si>
    <t>11-087-0010-26</t>
  </si>
  <si>
    <t>19-022-0340-02</t>
  </si>
  <si>
    <t>04-101-1400-61</t>
  </si>
  <si>
    <t>04-101-3230-26</t>
  </si>
  <si>
    <t>05-016-0360-02</t>
  </si>
  <si>
    <t>34-049-0010-02</t>
  </si>
  <si>
    <t>50-082-1130-02</t>
  </si>
  <si>
    <t>19-022-0070-02</t>
  </si>
  <si>
    <t>41-057-0150-03</t>
  </si>
  <si>
    <t>53-102-8010-60</t>
  </si>
  <si>
    <t>34-049-0500-04</t>
  </si>
  <si>
    <t>17-053-0050-26</t>
  </si>
  <si>
    <t>13-041-2090-27</t>
  </si>
  <si>
    <t>19-022-0680-02</t>
  </si>
  <si>
    <t>44-063-2000-26</t>
  </si>
  <si>
    <t>07-016-1270-02</t>
  </si>
  <si>
    <t>24-047-1150-26</t>
  </si>
  <si>
    <t>21-028-1880-26</t>
  </si>
  <si>
    <t>34-049-0060-02</t>
  </si>
  <si>
    <t>34-049-1260-17</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</si>
  <si>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</si>
  <si>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</si>
  <si>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</si>
  <si>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</si>
  <si>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</si>
  <si>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Are all errors corrected?</t>
  </si>
  <si>
    <t>Deficit Reduction Plan is required</t>
  </si>
  <si>
    <t>Deficit Reduction Plan is not required</t>
  </si>
  <si>
    <t>Out-of-balance conditions are marked here with an error message.</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</si>
  <si>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</si>
  <si>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</si>
  <si>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Type</t>
  </si>
  <si>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</si>
  <si>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</si>
  <si>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</si>
  <si>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</si>
  <si>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</si>
  <si>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</si>
  <si>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</si>
  <si>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</si>
  <si>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</si>
  <si>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</si>
  <si>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</si>
  <si>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</si>
  <si>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</si>
  <si>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</si>
  <si>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budget is balanced, please state the</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</si>
  <si>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</si>
  <si>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</si>
  <si>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</si>
  <si>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</si>
  <si>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</si>
  <si>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</si>
  <si>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</si>
  <si>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</si>
  <si>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</si>
  <si>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</si>
  <si>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</si>
  <si>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</si>
  <si>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</si>
  <si>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</si>
  <si>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</si>
  <si>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</si>
  <si>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</si>
  <si>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</si>
  <si>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</si>
  <si>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</si>
  <si>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</si>
  <si>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Spring Garden CCSD 178</t>
  </si>
  <si>
    <t>Closed 2022</t>
  </si>
  <si>
    <t>New 2022 EstRev</t>
  </si>
  <si>
    <t>5/22</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</si>
  <si>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</si>
  <si>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</si>
  <si>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</si>
  <si>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</si>
  <si>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</si>
  <si>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</si>
  <si>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</si>
  <si>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</si>
  <si>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</si>
  <si>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</si>
  <si>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</si>
  <si>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</si>
  <si>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</si>
  <si>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</si>
  <si>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</si>
  <si>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</si>
  <si>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</si>
  <si>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r>
      <t xml:space="preserve">Summary of Cash Transactions:  Beginning Cash Balance on Hand July 1, 2022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</si>
  <si>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2023 </t>
    </r>
    <r>
      <rPr>
        <b/>
        <sz val="9"/>
        <color indexed="16"/>
        <rFont val="Calibri"/>
        <family val="2"/>
        <scheme val="minor"/>
      </rPr>
      <t>(CashSum 5 tab - All Funds)</t>
    </r>
    <r>
      <rPr>
        <b/>
        <sz val="9"/>
        <rFont val="Calibri"/>
        <family val="2"/>
        <scheme val="minor"/>
      </rPr>
      <t xml:space="preserve"> cannot be negative.</t>
    </r>
  </si>
  <si>
    <t>Balancing Tab</t>
  </si>
  <si>
    <r>
      <t xml:space="preserve">Estimated Beginning Fund Balance July, 1 2022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</si>
  <si>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t>B16</t>
  </si>
  <si>
    <t>B17</t>
  </si>
  <si>
    <t>B25</t>
  </si>
  <si>
    <t>B36</t>
  </si>
  <si>
    <t>CashSum Tab</t>
  </si>
  <si>
    <t>BudgetSum Tab</t>
  </si>
  <si>
    <r>
      <t>ESTIMATED BEGINNING FUND BALANCE (without Student Activity Funds)</t>
    </r>
    <r>
      <rPr>
        <b/>
        <vertAlign val="superscript"/>
        <sz val="9"/>
        <rFont val="Calibri"/>
        <family val="2"/>
        <scheme val="minor"/>
      </rPr>
      <t>1</t>
    </r>
    <r>
      <rPr>
        <b/>
        <sz val="9"/>
        <rFont val="Calibri"/>
        <family val="2"/>
        <scheme val="minor"/>
      </rPr>
      <t xml:space="preserve"> as of July 1, 2022</t>
    </r>
  </si>
  <si>
    <t>A3</t>
  </si>
  <si>
    <t>A21</t>
  </si>
  <si>
    <t>A23</t>
  </si>
  <si>
    <t>A27</t>
  </si>
  <si>
    <t>A29</t>
  </si>
  <si>
    <t>A37</t>
  </si>
  <si>
    <r>
      <t>BEGINNING CASH BALANCE ON HAND (without Student Activity Funds)</t>
    </r>
    <r>
      <rPr>
        <b/>
        <vertAlign val="superscript"/>
        <sz val="9"/>
        <rFont val="Calibri"/>
        <family val="2"/>
        <scheme val="minor"/>
      </rPr>
      <t>7</t>
    </r>
    <r>
      <rPr>
        <b/>
        <sz val="9"/>
        <rFont val="Calibri"/>
        <family val="2"/>
        <scheme val="minor"/>
      </rPr>
      <t xml:space="preserve"> as of July 1, 2022</t>
    </r>
  </si>
  <si>
    <r>
      <t>Activity Funds BEGINNING CASH BALANCE ON HAND</t>
    </r>
    <r>
      <rPr>
        <b/>
        <vertAlign val="superscript"/>
        <sz val="9"/>
        <rFont val="Calibri"/>
        <family val="2"/>
        <scheme val="minor"/>
      </rPr>
      <t>7</t>
    </r>
    <r>
      <rPr>
        <b/>
        <sz val="9"/>
        <rFont val="Calibri"/>
        <family val="2"/>
        <scheme val="minor"/>
      </rPr>
      <t xml:space="preserve"> as of July 1, 2022</t>
    </r>
  </si>
  <si>
    <r>
      <t>Activity funds ENDING CASH BALANCE ON HAND</t>
    </r>
    <r>
      <rPr>
        <b/>
        <vertAlign val="superscript"/>
        <sz val="9"/>
        <rFont val="Calibri"/>
        <family val="2"/>
        <scheme val="minor"/>
      </rPr>
      <t>7</t>
    </r>
    <r>
      <rPr>
        <b/>
        <sz val="9"/>
        <rFont val="Calibri"/>
        <family val="2"/>
        <scheme val="minor"/>
      </rPr>
      <t xml:space="preserve"> as of June 30, 2023</t>
    </r>
  </si>
  <si>
    <r>
      <t>Total BEGINNING CASH BALANCE ON HAND (with Student Activity Funds)</t>
    </r>
    <r>
      <rPr>
        <b/>
        <vertAlign val="superscript"/>
        <sz val="9"/>
        <rFont val="Calibri"/>
        <family val="2"/>
        <scheme val="minor"/>
      </rPr>
      <t>7</t>
    </r>
    <r>
      <rPr>
        <b/>
        <sz val="9"/>
        <rFont val="Calibri"/>
        <family val="2"/>
        <scheme val="minor"/>
      </rPr>
      <t xml:space="preserve"> as of July 1, 2022</t>
    </r>
  </si>
  <si>
    <r>
      <t>Total ENDING CASH BALANCE ON HAND (with Student Activity Funds)</t>
    </r>
    <r>
      <rPr>
        <b/>
        <vertAlign val="superscript"/>
        <sz val="9"/>
        <rFont val="Calibri"/>
        <family val="2"/>
        <scheme val="minor"/>
      </rPr>
      <t>7</t>
    </r>
    <r>
      <rPr>
        <b/>
        <sz val="9"/>
        <rFont val="Calibri"/>
        <family val="2"/>
        <scheme val="minor"/>
      </rPr>
      <t xml:space="preserve"> as of June 30, 2023</t>
    </r>
  </si>
  <si>
    <r>
      <t>ENDING CASH BALANCE ON HAND (without Student Activity Funds)</t>
    </r>
    <r>
      <rPr>
        <b/>
        <vertAlign val="superscript"/>
        <sz val="9"/>
        <rFont val="Calibri"/>
        <family val="2"/>
        <scheme val="minor"/>
      </rPr>
      <t>7</t>
    </r>
    <r>
      <rPr>
        <b/>
        <sz val="9"/>
        <rFont val="Calibri"/>
        <family val="2"/>
        <scheme val="minor"/>
      </rPr>
      <t xml:space="preserve"> as of June 30, 2023</t>
    </r>
  </si>
  <si>
    <t>Begin entering data on EstRev 6-11 and EstExp 12-20 tabs.</t>
  </si>
  <si>
    <t>(Budgeted) over FY2022 (Actual)</t>
  </si>
  <si>
    <t>AC 30 Tab</t>
  </si>
  <si>
    <t>B26:C26</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</si>
  <si>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</si>
  <si>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</si>
  <si>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</si>
  <si>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</si>
  <si>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</si>
  <si>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</si>
  <si>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</si>
  <si>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</si>
  <si>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r>
      <t xml:space="preserve">Estimated Activity Fund Beginning Fund Balance July, 1 2022 </t>
    </r>
    <r>
      <rPr>
        <b/>
        <sz val="9"/>
        <color theme="5" tint="-0.249977111117893"/>
        <rFont val="Calibri"/>
        <family val="2"/>
        <scheme val="minor"/>
      </rPr>
      <t xml:space="preserve">(Cell C83)
</t>
    </r>
    <r>
      <rPr>
        <b/>
        <sz val="9"/>
        <color indexed="10"/>
        <rFont val="Calibri"/>
        <family val="2"/>
        <scheme val="minor"/>
      </rPr>
      <t>(Cell must have a number or zero.  Do not leave blank.)</t>
    </r>
  </si>
  <si>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</si>
  <si>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</si>
  <si>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</si>
  <si>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</si>
  <si>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</si>
  <si>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</si>
  <si>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</si>
  <si>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</si>
  <si>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</si>
  <si>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</si>
  <si>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</si>
  <si>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</si>
  <si>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</si>
  <si>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</si>
  <si>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</si>
  <si>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</si>
  <si>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</si>
  <si>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</si>
  <si>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</si>
  <si>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</si>
  <si>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</si>
  <si>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</si>
  <si>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</si>
  <si>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</si>
  <si>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</si>
  <si>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</si>
  <si>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</si>
  <si>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</si>
  <si>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</si>
  <si>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</si>
  <si>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</si>
  <si>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</si>
  <si>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</si>
  <si>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</si>
  <si>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</si>
  <si>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</si>
  <si>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</si>
  <si>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</si>
  <si>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</si>
  <si>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</si>
  <si>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</si>
  <si>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</si>
  <si>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</si>
  <si>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</si>
  <si>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</si>
  <si>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</si>
  <si>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</si>
  <si>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</si>
  <si>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</si>
  <si>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</si>
  <si>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</si>
  <si>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</si>
  <si>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</si>
  <si>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</si>
  <si>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</si>
  <si>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</si>
  <si>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</si>
  <si>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</si>
  <si>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</si>
  <si>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</si>
  <si>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</si>
  <si>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</si>
  <si>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</si>
  <si>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</si>
  <si>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</si>
  <si>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</si>
  <si>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</si>
  <si>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</si>
  <si>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</si>
  <si>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</si>
  <si>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</si>
  <si>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</si>
  <si>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</si>
  <si>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</si>
  <si>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</si>
  <si>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</si>
  <si>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</si>
  <si>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</si>
  <si>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</si>
  <si>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</si>
  <si>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</si>
  <si>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</si>
  <si>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</si>
  <si>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</si>
  <si>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</si>
  <si>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</si>
  <si>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</si>
  <si>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</si>
  <si>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</si>
  <si>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</si>
  <si>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</si>
  <si>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</si>
  <si>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</si>
  <si>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</si>
  <si>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</si>
  <si>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</si>
  <si>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</si>
  <si>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</si>
  <si>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</si>
  <si>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</si>
  <si>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</si>
  <si>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</si>
  <si>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</si>
  <si>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</si>
  <si>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</si>
  <si>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</si>
  <si>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</si>
  <si>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</si>
  <si>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</si>
  <si>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</si>
  <si>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</si>
  <si>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</si>
  <si>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</si>
  <si>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</si>
  <si>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</si>
  <si>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</si>
  <si>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</si>
  <si>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</si>
  <si>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</si>
  <si>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</si>
  <si>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</si>
  <si>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</si>
  <si>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</si>
  <si>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</si>
  <si>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Dimmick CCSD 175</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</si>
  <si>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</si>
  <si>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</si>
  <si>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</si>
  <si>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</si>
  <si>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</si>
  <si>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</si>
  <si>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</si>
  <si>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</si>
  <si>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</si>
  <si>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</si>
  <si>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</si>
  <si>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</si>
  <si>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</si>
  <si>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</si>
  <si>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</si>
  <si>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</si>
  <si>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</si>
  <si>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</si>
  <si>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</si>
  <si>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</si>
  <si>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</si>
  <si>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</si>
  <si>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</si>
  <si>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</si>
  <si>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</si>
  <si>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</si>
  <si>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</si>
  <si>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</si>
  <si>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</si>
  <si>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</si>
  <si>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</si>
  <si>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</si>
  <si>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</si>
  <si>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</si>
  <si>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t>Consultant: To update form for new fiscal year:
Input the new password you'll use for the budget form in the VBA code on Itemize 21 and Balancing tab.
Input appropriate year in cell E2 above. All years will update automatically EXCEPT the following cells, which you'll need to manually change:</t>
  </si>
  <si>
    <t xml:space="preserve"> Click here to choose your district from drop-down list</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</si>
  <si>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r>
      <rPr>
        <b/>
        <sz val="9"/>
        <color rgb="FFFF0000"/>
        <rFont val="Calibri"/>
        <family val="2"/>
        <scheme val="minor"/>
      </rPr>
      <t>(Do not type full district name manually.)</t>
    </r>
  </si>
  <si>
    <t>Select dist name from drop-down on line above</t>
  </si>
  <si>
    <t>Once all errors are corrected, you may save your budget and submit to ISBE.</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</si>
  <si>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</si>
  <si>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</si>
  <si>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</si>
  <si>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</si>
  <si>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</si>
  <si>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</si>
  <si>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September</t>
  </si>
  <si>
    <t>22</t>
  </si>
  <si>
    <t>12th</t>
  </si>
  <si>
    <t>Student A La Carte food</t>
  </si>
  <si>
    <t>Catering plus Garden Box sales</t>
  </si>
  <si>
    <t xml:space="preserve">E-rate revenue, plus misc expected revenue </t>
  </si>
  <si>
    <t>Misc expected operational revenue</t>
  </si>
  <si>
    <t>Money from Ed fund for DS</t>
  </si>
  <si>
    <t>Donation from Foundation and funds from Ed Fund</t>
  </si>
  <si>
    <t>Library Grant</t>
  </si>
  <si>
    <t>DORS STEP grant, ESSER III, School Based Health Center</t>
  </si>
  <si>
    <t>ESSER III funds</t>
  </si>
  <si>
    <t>Graduation expenses, Logistics, Student Activiteis, Teen Nursery, Safety</t>
  </si>
  <si>
    <t>Contractual Support Services</t>
  </si>
  <si>
    <t>Opeartions Support Services salaries, Retiree medical, workers' comp</t>
  </si>
  <si>
    <t>MarkVend Vending</t>
  </si>
  <si>
    <t>Vending Services</t>
  </si>
  <si>
    <t>general revenues</t>
  </si>
  <si>
    <t>Stuart Rodgers</t>
  </si>
  <si>
    <t>Photography</t>
  </si>
  <si>
    <t>student activities</t>
  </si>
  <si>
    <t>Accrual</t>
  </si>
  <si>
    <t>P. Savage Williams</t>
  </si>
  <si>
    <t>M. Parsons</t>
  </si>
  <si>
    <t>E. Rolewicz</t>
  </si>
  <si>
    <t>P. Maunsell</t>
  </si>
  <si>
    <t>S. Teterycz</t>
  </si>
  <si>
    <t>G. Livingston</t>
  </si>
  <si>
    <t>M. Anti</t>
  </si>
  <si>
    <t>Payments on Long 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</si>
</sst>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quot;$&quot;#,##0"/>
    <numFmt numFmtId="173" formatCode="[$-409]d\-mmm;@"/>
  </numFmts>
  <fonts count="89" x14ac:knownFonts="1">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i/>
      <sz val="10"/>
      <color rgb="FFFF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10"/>
      <color rgb="FF000000"/>
      <name val="Arial"/>
      <family val="2"/>
    </font>
    <font>
      <sz val="8"/>
      <color theme="0"/>
      <name val="Calibri"/>
      <family val="2"/>
      <scheme val="minor"/>
    </font>
    <font>
      <b/>
      <sz val="10"/>
      <color rgb="FFFF000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11"/>
      <color rgb="FFFFFFC0"/>
      <name val="Calibri"/>
      <family val="2"/>
      <scheme val="minor"/>
    </font>
    <font>
      <b/>
      <sz val="9"/>
      <color rgb="FFFF0000"/>
      <name val="Calibri"/>
      <family val="2"/>
      <scheme val="minor"/>
    </font>
    <font>
      <b/>
      <sz val="8"/>
      <name val="Arial"/>
      <family val="2"/>
    </font>
    <font>
      <b/>
      <i/>
      <sz val="11"/>
      <color rgb="FF800080"/>
      <name val="Calibri"/>
      <family val="2"/>
      <scheme val="minor"/>
    </font>
    <font>
      <sz val="10"/>
      <name val="Times New Roman"/>
      <family val="1"/>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s>
  <borders count="148">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double">
        <color auto="1"/>
      </bottom>
      <diagonal/>
    </border>
    <border>
      <left/>
      <right style="thin">
        <color theme="1" tint="0.499984740745262"/>
      </right>
      <top style="thin">
        <color theme="1" tint="0.499984740745262"/>
      </top>
      <bottom style="double">
        <color auto="1"/>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dotted">
        <color indexed="48"/>
      </top>
      <bottom/>
      <diagonal/>
    </border>
    <border>
      <left style="thin">
        <color indexed="22"/>
      </left>
      <right style="thin">
        <color indexed="22"/>
      </right>
      <top style="double">
        <color indexed="22"/>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bottom style="double">
        <color indexed="55"/>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style="thin">
        <color theme="0" tint="-0.34998626667073579"/>
      </right>
      <top/>
      <bottom style="double">
        <color indexed="55"/>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s>
  <cellStyleXfs count="59">
    <xf numFmtId="0" fontId="0" fillId="0" borderId="0"/>
    <xf numFmtId="0" fontId="7" fillId="0" borderId="0" applyNumberFormat="0" applyFill="0" applyBorder="0" applyAlignment="0" applyProtection="0">
      <alignment vertical="top"/>
      <protection locked="0"/>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4" fontId="3" fillId="0" borderId="0" applyFont="0" applyFill="0" applyBorder="0" applyAlignment="0" applyProtection="0"/>
    <xf numFmtId="0" fontId="2" fillId="0" borderId="0"/>
    <xf numFmtId="0" fontId="2" fillId="0" borderId="0"/>
    <xf numFmtId="0" fontId="61" fillId="0" borderId="0" applyNumberFormat="0" applyFill="0" applyBorder="0" applyAlignment="0" applyProtection="0">
      <alignment vertical="top"/>
      <protection locked="0"/>
    </xf>
    <xf numFmtId="0" fontId="1" fillId="0" borderId="0"/>
    <xf numFmtId="0" fontId="3" fillId="0" borderId="0"/>
  </cellStyleXfs>
  <cellXfs count="1847">
    <xf numFmtId="0" fontId="0" fillId="0" borderId="0" xfId="0"/>
    <xf numFmtId="0" fontId="0" fillId="0" borderId="0" xfId="0" applyFill="1"/>
    <xf numFmtId="0" fontId="0" fillId="0" borderId="0" xfId="0" applyFill="1" applyProtection="1"/>
    <xf numFmtId="0" fontId="15" fillId="0" borderId="0" xfId="0" applyFont="1"/>
    <xf numFmtId="0" fontId="3" fillId="0" borderId="0" xfId="0" applyFont="1"/>
    <xf numFmtId="0" fontId="6" fillId="0" borderId="0" xfId="0" applyFont="1"/>
    <xf numFmtId="0" fontId="6" fillId="0" borderId="0" xfId="0" applyFont="1" applyProtection="1"/>
    <xf numFmtId="0" fontId="16" fillId="0" borderId="0" xfId="0" applyFont="1" applyProtection="1"/>
    <xf numFmtId="0" fontId="16" fillId="0" borderId="0" xfId="0" applyFont="1" applyProtection="1">
      <protection locked="0"/>
    </xf>
    <xf numFmtId="0" fontId="6" fillId="0" borderId="0" xfId="0" applyFont="1" applyProtection="1">
      <protection locked="0"/>
    </xf>
    <xf numFmtId="0" fontId="16" fillId="0" borderId="0" xfId="0" applyFont="1" applyFill="1" applyProtection="1"/>
    <xf numFmtId="0" fontId="6" fillId="0" borderId="0" xfId="0" applyFont="1" applyFill="1" applyProtection="1"/>
    <xf numFmtId="0" fontId="6" fillId="0" borderId="0" xfId="0" applyNumberFormat="1" applyFont="1" applyProtection="1"/>
    <xf numFmtId="0" fontId="15"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3" fillId="0" borderId="0" xfId="0" applyNumberFormat="1" applyFont="1" applyFill="1" applyAlignment="1">
      <alignment horizontal="right"/>
    </xf>
    <xf numFmtId="0" fontId="0" fillId="0" borderId="0" xfId="0" applyNumberFormat="1" applyFill="1" applyAlignment="1">
      <alignment horizontal="left"/>
    </xf>
    <xf numFmtId="0" fontId="6" fillId="0" borderId="0" xfId="0" applyFont="1" applyProtection="1"/>
    <xf numFmtId="38" fontId="23" fillId="10" borderId="4" xfId="51" applyNumberFormat="1" applyFont="1" applyFill="1" applyBorder="1" applyAlignment="1" applyProtection="1">
      <alignment horizontal="right"/>
    </xf>
    <xf numFmtId="38" fontId="23" fillId="10" borderId="4" xfId="2" applyNumberFormat="1" applyFont="1" applyFill="1" applyBorder="1" applyAlignment="1" applyProtection="1">
      <alignment horizontal="right"/>
    </xf>
    <xf numFmtId="38" fontId="23" fillId="10" borderId="46" xfId="2" applyNumberFormat="1" applyFont="1" applyFill="1" applyBorder="1" applyAlignment="1" applyProtection="1">
      <alignment horizontal="right"/>
    </xf>
    <xf numFmtId="38" fontId="23" fillId="3" borderId="7" xfId="51" applyNumberFormat="1" applyFont="1" applyFill="1" applyBorder="1" applyAlignment="1" applyProtection="1">
      <alignment horizontal="right"/>
    </xf>
    <xf numFmtId="38" fontId="23" fillId="3" borderId="25" xfId="51" applyNumberFormat="1" applyFont="1" applyFill="1" applyBorder="1" applyAlignment="1" applyProtection="1">
      <alignment horizontal="right"/>
    </xf>
    <xf numFmtId="38" fontId="23" fillId="3" borderId="25" xfId="2" applyNumberFormat="1" applyFont="1" applyFill="1" applyBorder="1" applyAlignment="1" applyProtection="1">
      <alignment horizontal="right"/>
    </xf>
    <xf numFmtId="38" fontId="23" fillId="3" borderId="16" xfId="2" applyNumberFormat="1" applyFont="1" applyFill="1" applyBorder="1" applyAlignment="1" applyProtection="1">
      <alignment horizontal="right"/>
    </xf>
    <xf numFmtId="38" fontId="23" fillId="0" borderId="15" xfId="51" applyNumberFormat="1" applyFont="1" applyBorder="1" applyAlignment="1" applyProtection="1">
      <alignment horizontal="right"/>
      <protection locked="0"/>
    </xf>
    <xf numFmtId="38" fontId="23" fillId="0" borderId="15" xfId="51" applyNumberFormat="1" applyFont="1" applyFill="1" applyBorder="1" applyAlignment="1" applyProtection="1">
      <alignment horizontal="right"/>
      <protection locked="0"/>
    </xf>
    <xf numFmtId="38" fontId="23" fillId="3" borderId="8" xfId="51" applyNumberFormat="1" applyFont="1" applyFill="1" applyBorder="1" applyAlignment="1" applyProtection="1">
      <alignment horizontal="right"/>
    </xf>
    <xf numFmtId="38" fontId="23" fillId="3" borderId="8" xfId="2" applyNumberFormat="1" applyFont="1" applyFill="1" applyBorder="1" applyAlignment="1" applyProtection="1">
      <alignment horizontal="right"/>
    </xf>
    <xf numFmtId="38" fontId="23" fillId="0" borderId="15" xfId="2" applyNumberFormat="1" applyFont="1" applyBorder="1" applyAlignment="1" applyProtection="1">
      <alignment horizontal="right"/>
      <protection locked="0"/>
    </xf>
    <xf numFmtId="38" fontId="23" fillId="0" borderId="15" xfId="2" applyNumberFormat="1" applyFont="1" applyFill="1" applyBorder="1" applyAlignment="1" applyProtection="1">
      <alignment horizontal="right"/>
      <protection locked="0"/>
    </xf>
    <xf numFmtId="38" fontId="23" fillId="4" borderId="23" xfId="51" applyNumberFormat="1" applyFont="1" applyFill="1" applyBorder="1" applyAlignment="1" applyProtection="1">
      <alignment horizontal="right"/>
    </xf>
    <xf numFmtId="38" fontId="23" fillId="3" borderId="20" xfId="51" applyNumberFormat="1" applyFont="1" applyFill="1" applyBorder="1" applyAlignment="1" applyProtection="1">
      <alignment horizontal="right"/>
    </xf>
    <xf numFmtId="38" fontId="23" fillId="3" borderId="20" xfId="2" applyNumberFormat="1" applyFont="1" applyFill="1" applyBorder="1" applyAlignment="1" applyProtection="1">
      <alignment horizontal="right"/>
    </xf>
    <xf numFmtId="38" fontId="23" fillId="4" borderId="19" xfId="51" applyNumberFormat="1" applyFont="1" applyFill="1" applyBorder="1" applyAlignment="1" applyProtection="1">
      <alignment horizontal="right"/>
    </xf>
    <xf numFmtId="38" fontId="23" fillId="3" borderId="9" xfId="51" applyNumberFormat="1" applyFont="1" applyFill="1" applyBorder="1" applyAlignment="1" applyProtection="1">
      <alignment horizontal="right"/>
    </xf>
    <xf numFmtId="38" fontId="23" fillId="3" borderId="9" xfId="2" applyNumberFormat="1" applyFont="1" applyFill="1" applyBorder="1" applyAlignment="1" applyProtection="1">
      <alignment horizontal="right"/>
    </xf>
    <xf numFmtId="38" fontId="23" fillId="3" borderId="8" xfId="3" applyNumberFormat="1" applyFont="1" applyFill="1" applyBorder="1" applyAlignment="1" applyProtection="1">
      <alignment horizontal="right"/>
    </xf>
    <xf numFmtId="38" fontId="23" fillId="3" borderId="8" xfId="4" applyNumberFormat="1" applyFont="1" applyFill="1" applyBorder="1" applyAlignment="1" applyProtection="1">
      <alignment horizontal="right"/>
    </xf>
    <xf numFmtId="38" fontId="23" fillId="4" borderId="19" xfId="3" applyNumberFormat="1" applyFont="1" applyFill="1" applyBorder="1" applyAlignment="1" applyProtection="1">
      <alignment horizontal="right"/>
    </xf>
    <xf numFmtId="38" fontId="23" fillId="3" borderId="8" xfId="5" applyNumberFormat="1" applyFont="1" applyFill="1" applyBorder="1" applyAlignment="1" applyProtection="1">
      <alignment horizontal="right"/>
    </xf>
    <xf numFmtId="38" fontId="23" fillId="3" borderId="8" xfId="5" applyNumberFormat="1" applyFont="1" applyFill="1" applyBorder="1" applyAlignment="1" applyProtection="1">
      <alignment horizontal="left"/>
    </xf>
    <xf numFmtId="38" fontId="23" fillId="3" borderId="8" xfId="6" applyNumberFormat="1" applyFont="1" applyFill="1" applyBorder="1" applyAlignment="1" applyProtection="1">
      <alignment horizontal="right"/>
    </xf>
    <xf numFmtId="38" fontId="23" fillId="4" borderId="19" xfId="5" applyNumberFormat="1" applyFont="1" applyFill="1" applyBorder="1" applyAlignment="1" applyProtection="1">
      <alignment horizontal="right"/>
    </xf>
    <xf numFmtId="38" fontId="21" fillId="3" borderId="8" xfId="5" applyNumberFormat="1" applyFont="1" applyFill="1" applyBorder="1" applyAlignment="1" applyProtection="1">
      <alignment horizontal="right"/>
    </xf>
    <xf numFmtId="38" fontId="23" fillId="3" borderId="8" xfId="7" applyNumberFormat="1" applyFont="1" applyFill="1" applyBorder="1" applyAlignment="1" applyProtection="1">
      <alignment horizontal="right"/>
    </xf>
    <xf numFmtId="38" fontId="23" fillId="3" borderId="8" xfId="8" applyNumberFormat="1" applyFont="1" applyFill="1" applyBorder="1" applyAlignment="1" applyProtection="1">
      <alignment horizontal="right"/>
    </xf>
    <xf numFmtId="38" fontId="23" fillId="4" borderId="19" xfId="7" applyNumberFormat="1" applyFont="1" applyFill="1" applyBorder="1" applyAlignment="1" applyProtection="1">
      <alignment horizontal="right"/>
    </xf>
    <xf numFmtId="38" fontId="23" fillId="3" borderId="8" xfId="9" applyNumberFormat="1" applyFont="1" applyFill="1" applyBorder="1" applyAlignment="1" applyProtection="1">
      <alignment horizontal="right"/>
    </xf>
    <xf numFmtId="38" fontId="23" fillId="3" borderId="8" xfId="10" applyNumberFormat="1" applyFont="1" applyFill="1" applyBorder="1" applyAlignment="1" applyProtection="1">
      <alignment horizontal="right"/>
    </xf>
    <xf numFmtId="38" fontId="23" fillId="0" borderId="15" xfId="9" applyNumberFormat="1" applyFont="1" applyBorder="1" applyAlignment="1" applyProtection="1">
      <alignment horizontal="right"/>
      <protection locked="0"/>
    </xf>
    <xf numFmtId="38" fontId="23" fillId="0" borderId="15" xfId="10" applyNumberFormat="1" applyFont="1" applyBorder="1" applyAlignment="1" applyProtection="1">
      <alignment horizontal="right"/>
      <protection locked="0"/>
    </xf>
    <xf numFmtId="38" fontId="23" fillId="0" borderId="2" xfId="9" applyNumberFormat="1" applyFont="1" applyBorder="1" applyAlignment="1" applyProtection="1">
      <alignment horizontal="right"/>
      <protection locked="0"/>
    </xf>
    <xf numFmtId="38" fontId="23" fillId="0" borderId="15" xfId="9" applyNumberFormat="1" applyFont="1" applyFill="1" applyBorder="1" applyAlignment="1" applyProtection="1">
      <alignment horizontal="right"/>
      <protection locked="0"/>
    </xf>
    <xf numFmtId="38" fontId="23" fillId="0" borderId="15" xfId="10" applyNumberFormat="1" applyFont="1" applyFill="1" applyBorder="1" applyAlignment="1" applyProtection="1">
      <alignment horizontal="right"/>
      <protection locked="0"/>
    </xf>
    <xf numFmtId="38" fontId="23" fillId="3" borderId="15" xfId="9" applyNumberFormat="1" applyFont="1" applyFill="1" applyBorder="1" applyAlignment="1" applyProtection="1">
      <alignment horizontal="right"/>
    </xf>
    <xf numFmtId="38" fontId="23" fillId="3" borderId="15" xfId="10" applyNumberFormat="1" applyFont="1" applyFill="1" applyBorder="1" applyAlignment="1" applyProtection="1">
      <alignment horizontal="right"/>
    </xf>
    <xf numFmtId="38" fontId="23" fillId="3" borderId="2" xfId="10" applyNumberFormat="1" applyFont="1" applyFill="1" applyBorder="1" applyAlignment="1" applyProtection="1">
      <alignment horizontal="right"/>
    </xf>
    <xf numFmtId="38" fontId="23" fillId="0" borderId="3" xfId="9" applyNumberFormat="1" applyFont="1" applyBorder="1" applyAlignment="1" applyProtection="1">
      <alignment horizontal="right"/>
      <protection locked="0"/>
    </xf>
    <xf numFmtId="38" fontId="23" fillId="0" borderId="3" xfId="10" applyNumberFormat="1" applyFont="1" applyBorder="1" applyAlignment="1" applyProtection="1">
      <alignment horizontal="right"/>
      <protection locked="0"/>
    </xf>
    <xf numFmtId="38" fontId="23" fillId="3" borderId="3" xfId="9" applyNumberFormat="1" applyFont="1" applyFill="1" applyBorder="1" applyAlignment="1" applyProtection="1">
      <alignment horizontal="right"/>
    </xf>
    <xf numFmtId="38" fontId="23" fillId="3" borderId="3" xfId="10" applyNumberFormat="1" applyFont="1" applyFill="1" applyBorder="1" applyAlignment="1" applyProtection="1">
      <alignment horizontal="right"/>
    </xf>
    <xf numFmtId="38" fontId="23" fillId="4" borderId="19" xfId="9" applyNumberFormat="1" applyFont="1" applyFill="1" applyBorder="1" applyAlignment="1" applyProtection="1">
      <alignment horizontal="right"/>
    </xf>
    <xf numFmtId="38" fontId="23" fillId="4" borderId="10" xfId="9" applyNumberFormat="1" applyFont="1" applyFill="1" applyBorder="1" applyAlignment="1" applyProtection="1">
      <alignment horizontal="right"/>
    </xf>
    <xf numFmtId="38" fontId="23" fillId="10" borderId="67" xfId="9" applyNumberFormat="1" applyFont="1" applyFill="1" applyBorder="1" applyAlignment="1" applyProtection="1">
      <alignment horizontal="right"/>
    </xf>
    <xf numFmtId="38" fontId="23" fillId="10" borderId="67" xfId="10" applyNumberFormat="1" applyFont="1" applyFill="1" applyBorder="1" applyAlignment="1" applyProtection="1">
      <alignment horizontal="right"/>
    </xf>
    <xf numFmtId="38" fontId="23" fillId="10" borderId="61" xfId="10" applyNumberFormat="1" applyFont="1" applyFill="1" applyBorder="1" applyAlignment="1" applyProtection="1">
      <alignment horizontal="right"/>
    </xf>
    <xf numFmtId="38" fontId="23" fillId="10" borderId="14" xfId="9" applyNumberFormat="1" applyFont="1" applyFill="1" applyBorder="1" applyAlignment="1" applyProtection="1">
      <alignment horizontal="right"/>
    </xf>
    <xf numFmtId="38" fontId="23" fillId="10" borderId="43" xfId="9" applyNumberFormat="1" applyFont="1" applyFill="1" applyBorder="1" applyAlignment="1" applyProtection="1">
      <alignment horizontal="right"/>
    </xf>
    <xf numFmtId="38" fontId="23" fillId="10" borderId="25" xfId="9" applyNumberFormat="1" applyFont="1" applyFill="1" applyBorder="1" applyAlignment="1" applyProtection="1">
      <alignment horizontal="right"/>
    </xf>
    <xf numFmtId="38" fontId="23" fillId="10" borderId="43" xfId="10" applyNumberFormat="1" applyFont="1" applyFill="1" applyBorder="1" applyAlignment="1" applyProtection="1">
      <alignment horizontal="right"/>
    </xf>
    <xf numFmtId="38" fontId="23" fillId="10" borderId="25" xfId="10" applyNumberFormat="1" applyFont="1" applyFill="1" applyBorder="1" applyAlignment="1" applyProtection="1">
      <alignment horizontal="right"/>
    </xf>
    <xf numFmtId="38" fontId="23" fillId="10" borderId="16" xfId="10" applyNumberFormat="1" applyFont="1" applyFill="1" applyBorder="1" applyAlignment="1" applyProtection="1">
      <alignment horizontal="right"/>
    </xf>
    <xf numFmtId="38" fontId="23" fillId="0" borderId="15" xfId="11" applyNumberFormat="1" applyFont="1" applyBorder="1" applyAlignment="1" applyProtection="1">
      <alignment horizontal="right"/>
      <protection locked="0"/>
    </xf>
    <xf numFmtId="38" fontId="23" fillId="3" borderId="8" xfId="12" applyNumberFormat="1" applyFont="1" applyFill="1" applyBorder="1" applyAlignment="1" applyProtection="1">
      <alignment horizontal="right"/>
    </xf>
    <xf numFmtId="38" fontId="23" fillId="4" borderId="19" xfId="11" applyNumberFormat="1" applyFont="1" applyFill="1" applyBorder="1" applyAlignment="1" applyProtection="1">
      <alignment horizontal="right"/>
    </xf>
    <xf numFmtId="38" fontId="23" fillId="3" borderId="8" xfId="11" applyNumberFormat="1" applyFont="1" applyFill="1" applyBorder="1" applyAlignment="1" applyProtection="1">
      <alignment horizontal="right"/>
    </xf>
    <xf numFmtId="38" fontId="21" fillId="3" borderId="8" xfId="11" applyNumberFormat="1" applyFont="1" applyFill="1" applyBorder="1" applyAlignment="1" applyProtection="1">
      <alignment horizontal="right"/>
    </xf>
    <xf numFmtId="38" fontId="23" fillId="3" borderId="20" xfId="11" applyNumberFormat="1" applyFont="1" applyFill="1" applyBorder="1" applyAlignment="1" applyProtection="1">
      <alignment horizontal="right"/>
    </xf>
    <xf numFmtId="38" fontId="23" fillId="0" borderId="8" xfId="13" applyNumberFormat="1" applyFont="1" applyBorder="1" applyAlignment="1" applyProtection="1">
      <alignment horizontal="right"/>
      <protection locked="0"/>
    </xf>
    <xf numFmtId="38" fontId="23" fillId="3" borderId="8" xfId="13" applyNumberFormat="1" applyFont="1" applyFill="1" applyBorder="1" applyAlignment="1" applyProtection="1">
      <alignment horizontal="right"/>
    </xf>
    <xf numFmtId="38" fontId="23" fillId="3" borderId="8" xfId="14" applyNumberFormat="1" applyFont="1" applyFill="1" applyBorder="1" applyAlignment="1" applyProtection="1">
      <alignment horizontal="right"/>
    </xf>
    <xf numFmtId="38" fontId="23" fillId="0" borderId="15" xfId="13" applyNumberFormat="1" applyFont="1" applyBorder="1" applyAlignment="1" applyProtection="1">
      <alignment horizontal="right"/>
      <protection locked="0"/>
    </xf>
    <xf numFmtId="38" fontId="23" fillId="4" borderId="19" xfId="13" applyNumberFormat="1" applyFont="1" applyFill="1" applyBorder="1" applyAlignment="1" applyProtection="1">
      <alignment horizontal="right"/>
    </xf>
    <xf numFmtId="38" fontId="23" fillId="3" borderId="20" xfId="13" applyNumberFormat="1" applyFont="1" applyFill="1" applyBorder="1" applyAlignment="1" applyProtection="1">
      <alignment horizontal="right"/>
    </xf>
    <xf numFmtId="38" fontId="23" fillId="3" borderId="9" xfId="13" applyNumberFormat="1" applyFont="1" applyFill="1" applyBorder="1" applyAlignment="1" applyProtection="1">
      <alignment horizontal="right"/>
    </xf>
    <xf numFmtId="38" fontId="23" fillId="0" borderId="8" xfId="14" applyNumberFormat="1" applyFont="1" applyBorder="1" applyAlignment="1" applyProtection="1">
      <alignment horizontal="right"/>
      <protection locked="0"/>
    </xf>
    <xf numFmtId="38" fontId="23" fillId="0" borderId="2" xfId="14" applyNumberFormat="1" applyFont="1" applyBorder="1" applyAlignment="1" applyProtection="1">
      <alignment horizontal="right"/>
      <protection locked="0"/>
    </xf>
    <xf numFmtId="38" fontId="23" fillId="3" borderId="8" xfId="15" applyNumberFormat="1" applyFont="1" applyFill="1" applyBorder="1" applyAlignment="1" applyProtection="1">
      <alignment horizontal="right"/>
    </xf>
    <xf numFmtId="38" fontId="23" fillId="3" borderId="8" xfId="16" applyNumberFormat="1" applyFont="1" applyFill="1" applyBorder="1" applyAlignment="1" applyProtection="1">
      <alignment horizontal="right"/>
    </xf>
    <xf numFmtId="38" fontId="23" fillId="4" borderId="19" xfId="15" applyNumberFormat="1" applyFont="1" applyFill="1" applyBorder="1" applyAlignment="1" applyProtection="1">
      <alignment horizontal="right"/>
    </xf>
    <xf numFmtId="38" fontId="23" fillId="3" borderId="8" xfId="17" applyNumberFormat="1" applyFont="1" applyFill="1" applyBorder="1" applyAlignment="1" applyProtection="1">
      <alignment horizontal="right"/>
    </xf>
    <xf numFmtId="38" fontId="23" fillId="3" borderId="8" xfId="18" applyNumberFormat="1" applyFont="1" applyFill="1" applyBorder="1" applyAlignment="1" applyProtection="1">
      <alignment horizontal="right"/>
    </xf>
    <xf numFmtId="38" fontId="23" fillId="3" borderId="8" xfId="19" applyNumberFormat="1" applyFont="1" applyFill="1" applyBorder="1" applyAlignment="1" applyProtection="1">
      <alignment horizontal="right"/>
    </xf>
    <xf numFmtId="38" fontId="23" fillId="3" borderId="8" xfId="20" applyNumberFormat="1" applyFont="1" applyFill="1" applyBorder="1" applyAlignment="1" applyProtection="1">
      <alignment horizontal="right"/>
    </xf>
    <xf numFmtId="38" fontId="23" fillId="0" borderId="19" xfId="19" applyNumberFormat="1" applyFont="1" applyBorder="1" applyAlignment="1" applyProtection="1">
      <alignment horizontal="right"/>
      <protection locked="0"/>
    </xf>
    <xf numFmtId="38" fontId="23" fillId="4" borderId="23" xfId="19" quotePrefix="1" applyNumberFormat="1" applyFont="1" applyFill="1" applyBorder="1" applyAlignment="1" applyProtection="1">
      <alignment horizontal="right"/>
    </xf>
    <xf numFmtId="38" fontId="23" fillId="4" borderId="10" xfId="19" applyNumberFormat="1" applyFont="1" applyFill="1" applyBorder="1" applyAlignment="1" applyProtection="1">
      <alignment horizontal="right"/>
    </xf>
    <xf numFmtId="38" fontId="23" fillId="10" borderId="67" xfId="21" applyNumberFormat="1" applyFont="1" applyFill="1" applyBorder="1" applyAlignment="1" applyProtection="1">
      <alignment horizontal="right"/>
    </xf>
    <xf numFmtId="38" fontId="23" fillId="10" borderId="67" xfId="22" applyNumberFormat="1" applyFont="1" applyFill="1" applyBorder="1" applyAlignment="1" applyProtection="1">
      <alignment horizontal="right"/>
    </xf>
    <xf numFmtId="38" fontId="23" fillId="10" borderId="61" xfId="22" applyNumberFormat="1" applyFont="1" applyFill="1" applyBorder="1" applyAlignment="1" applyProtection="1">
      <alignment horizontal="right"/>
    </xf>
    <xf numFmtId="38" fontId="23" fillId="3" borderId="7" xfId="21" applyNumberFormat="1" applyFont="1" applyFill="1" applyBorder="1" applyAlignment="1" applyProtection="1">
      <alignment horizontal="right"/>
    </xf>
    <xf numFmtId="38" fontId="23" fillId="3" borderId="25" xfId="21" applyNumberFormat="1" applyFont="1" applyFill="1" applyBorder="1" applyAlignment="1" applyProtection="1">
      <alignment horizontal="right"/>
    </xf>
    <xf numFmtId="38" fontId="23" fillId="3" borderId="25" xfId="22" applyNumberFormat="1" applyFont="1" applyFill="1" applyBorder="1" applyAlignment="1" applyProtection="1">
      <alignment horizontal="right"/>
    </xf>
    <xf numFmtId="38" fontId="23" fillId="3" borderId="16" xfId="22" applyNumberFormat="1" applyFont="1" applyFill="1" applyBorder="1" applyAlignment="1" applyProtection="1">
      <alignment horizontal="right"/>
    </xf>
    <xf numFmtId="38" fontId="23" fillId="0" borderId="15" xfId="21" applyNumberFormat="1" applyFont="1" applyBorder="1" applyAlignment="1" applyProtection="1">
      <alignment horizontal="right"/>
      <protection locked="0"/>
    </xf>
    <xf numFmtId="38" fontId="23" fillId="0" borderId="15" xfId="22" applyNumberFormat="1" applyFont="1" applyFill="1" applyBorder="1" applyAlignment="1" applyProtection="1">
      <alignment horizontal="right"/>
      <protection locked="0"/>
    </xf>
    <xf numFmtId="38" fontId="23" fillId="4" borderId="19" xfId="21" applyNumberFormat="1" applyFont="1" applyFill="1" applyBorder="1" applyAlignment="1" applyProtection="1">
      <alignment horizontal="right"/>
    </xf>
    <xf numFmtId="38" fontId="23" fillId="3" borderId="13" xfId="21" applyNumberFormat="1" applyFont="1" applyFill="1" applyBorder="1" applyAlignment="1" applyProtection="1">
      <alignment horizontal="right"/>
    </xf>
    <xf numFmtId="38" fontId="23" fillId="3" borderId="8" xfId="21" applyNumberFormat="1" applyFont="1" applyFill="1" applyBorder="1" applyAlignment="1" applyProtection="1">
      <alignment horizontal="right"/>
    </xf>
    <xf numFmtId="38" fontId="23" fillId="3" borderId="8" xfId="22" applyNumberFormat="1" applyFont="1" applyFill="1" applyBorder="1" applyAlignment="1" applyProtection="1">
      <alignment horizontal="right"/>
    </xf>
    <xf numFmtId="38" fontId="28" fillId="3" borderId="8" xfId="22" applyNumberFormat="1" applyFont="1" applyFill="1" applyBorder="1" applyAlignment="1" applyProtection="1">
      <alignment horizontal="right"/>
    </xf>
    <xf numFmtId="38" fontId="23" fillId="3" borderId="9" xfId="21" applyNumberFormat="1" applyFont="1" applyFill="1" applyBorder="1" applyAlignment="1" applyProtection="1">
      <alignment horizontal="right"/>
    </xf>
    <xf numFmtId="38" fontId="23" fillId="3" borderId="8" xfId="23" applyNumberFormat="1" applyFont="1" applyFill="1" applyBorder="1" applyAlignment="1" applyProtection="1">
      <alignment horizontal="right"/>
    </xf>
    <xf numFmtId="38" fontId="23" fillId="3" borderId="8" xfId="24" applyNumberFormat="1" applyFont="1" applyFill="1" applyBorder="1" applyAlignment="1" applyProtection="1">
      <alignment horizontal="right"/>
    </xf>
    <xf numFmtId="38" fontId="23" fillId="0" borderId="15" xfId="24" applyNumberFormat="1" applyFont="1" applyFill="1" applyBorder="1" applyAlignment="1" applyProtection="1">
      <alignment horizontal="right"/>
      <protection locked="0"/>
    </xf>
    <xf numFmtId="38" fontId="23" fillId="3" borderId="15" xfId="24" applyNumberFormat="1" applyFont="1" applyFill="1" applyBorder="1" applyAlignment="1" applyProtection="1">
      <alignment horizontal="right"/>
    </xf>
    <xf numFmtId="38" fontId="23" fillId="4" borderId="19" xfId="24" applyNumberFormat="1" applyFont="1" applyFill="1" applyBorder="1" applyAlignment="1" applyProtection="1">
      <alignment horizontal="right"/>
    </xf>
    <xf numFmtId="49" fontId="22" fillId="4" borderId="28" xfId="23" applyNumberFormat="1" applyFont="1" applyFill="1" applyBorder="1" applyAlignment="1" applyProtection="1">
      <alignment horizontal="left" vertical="center" indent="2"/>
    </xf>
    <xf numFmtId="0" fontId="19" fillId="4" borderId="50" xfId="23" applyNumberFormat="1" applyFont="1" applyFill="1" applyBorder="1" applyAlignment="1" applyProtection="1">
      <alignment horizontal="right"/>
    </xf>
    <xf numFmtId="38" fontId="23" fillId="4" borderId="19" xfId="23" applyNumberFormat="1" applyFont="1" applyFill="1" applyBorder="1" applyAlignment="1" applyProtection="1">
      <alignment horizontal="right"/>
    </xf>
    <xf numFmtId="0" fontId="22" fillId="3" borderId="47" xfId="23" applyNumberFormat="1" applyFont="1" applyFill="1" applyBorder="1" applyAlignment="1" applyProtection="1">
      <alignment horizontal="center" vertical="center"/>
    </xf>
    <xf numFmtId="38" fontId="23" fillId="3" borderId="20" xfId="23" applyNumberFormat="1" applyFont="1" applyFill="1" applyBorder="1" applyAlignment="1" applyProtection="1">
      <alignment horizontal="right"/>
    </xf>
    <xf numFmtId="49" fontId="19" fillId="0" borderId="7" xfId="23" applyNumberFormat="1" applyFont="1" applyBorder="1" applyAlignment="1" applyProtection="1">
      <alignment horizontal="left" vertical="center" indent="1"/>
    </xf>
    <xf numFmtId="38" fontId="23" fillId="4" borderId="19" xfId="25" applyNumberFormat="1" applyFont="1" applyFill="1" applyBorder="1" applyAlignment="1" applyProtection="1">
      <alignment horizontal="right"/>
    </xf>
    <xf numFmtId="38" fontId="23" fillId="3" borderId="8" xfId="25" applyNumberFormat="1" applyFont="1" applyFill="1" applyBorder="1" applyAlignment="1" applyProtection="1">
      <alignment horizontal="right"/>
    </xf>
    <xf numFmtId="38" fontId="23" fillId="3" borderId="8" xfId="26" applyNumberFormat="1" applyFont="1" applyFill="1" applyBorder="1" applyAlignment="1" applyProtection="1">
      <alignment horizontal="right"/>
    </xf>
    <xf numFmtId="38" fontId="23" fillId="3" borderId="20" xfId="25" applyNumberFormat="1" applyFont="1" applyFill="1" applyBorder="1" applyAlignment="1" applyProtection="1">
      <alignment horizontal="right"/>
    </xf>
    <xf numFmtId="38" fontId="23" fillId="3" borderId="8" xfId="27" applyNumberFormat="1" applyFont="1" applyFill="1" applyBorder="1" applyAlignment="1" applyProtection="1">
      <alignment horizontal="right"/>
    </xf>
    <xf numFmtId="38" fontId="23" fillId="3" borderId="8" xfId="28" applyNumberFormat="1" applyFont="1" applyFill="1" applyBorder="1" applyAlignment="1" applyProtection="1">
      <alignment horizontal="right"/>
    </xf>
    <xf numFmtId="38" fontId="23" fillId="4" borderId="19" xfId="27" applyNumberFormat="1" applyFont="1" applyFill="1" applyBorder="1" applyAlignment="1" applyProtection="1">
      <alignment horizontal="right"/>
    </xf>
    <xf numFmtId="38" fontId="23" fillId="3" borderId="20" xfId="27" applyNumberFormat="1" applyFont="1" applyFill="1" applyBorder="1" applyAlignment="1" applyProtection="1">
      <alignment horizontal="right"/>
    </xf>
    <xf numFmtId="38" fontId="23" fillId="3" borderId="8" xfId="29" applyNumberFormat="1" applyFont="1" applyFill="1" applyBorder="1" applyAlignment="1" applyProtection="1">
      <alignment horizontal="right"/>
    </xf>
    <xf numFmtId="38" fontId="23" fillId="0" borderId="15" xfId="30" applyNumberFormat="1" applyFont="1" applyFill="1" applyBorder="1" applyAlignment="1" applyProtection="1">
      <alignment horizontal="right"/>
      <protection locked="0"/>
    </xf>
    <xf numFmtId="38" fontId="23" fillId="3" borderId="8" xfId="30" applyNumberFormat="1" applyFont="1" applyFill="1" applyBorder="1" applyAlignment="1" applyProtection="1">
      <alignment horizontal="right"/>
    </xf>
    <xf numFmtId="38" fontId="23" fillId="4" borderId="19" xfId="29" applyNumberFormat="1" applyFont="1" applyFill="1" applyBorder="1" applyAlignment="1" applyProtection="1">
      <alignment horizontal="right"/>
    </xf>
    <xf numFmtId="38" fontId="23" fillId="3" borderId="15" xfId="30" applyNumberFormat="1" applyFont="1" applyFill="1" applyBorder="1" applyAlignment="1" applyProtection="1">
      <alignment horizontal="right"/>
    </xf>
    <xf numFmtId="38" fontId="23" fillId="3" borderId="2" xfId="30" applyNumberFormat="1" applyFont="1" applyFill="1" applyBorder="1" applyAlignment="1" applyProtection="1">
      <alignment horizontal="right"/>
    </xf>
    <xf numFmtId="38" fontId="23" fillId="0" borderId="2" xfId="30" applyNumberFormat="1" applyFont="1" applyFill="1" applyBorder="1" applyAlignment="1" applyProtection="1">
      <alignment horizontal="right"/>
      <protection locked="0"/>
    </xf>
    <xf numFmtId="38" fontId="23" fillId="3" borderId="3" xfId="30" applyNumberFormat="1" applyFont="1" applyFill="1" applyBorder="1" applyAlignment="1" applyProtection="1">
      <alignment horizontal="right"/>
    </xf>
    <xf numFmtId="38" fontId="23" fillId="3" borderId="8" xfId="32" applyNumberFormat="1" applyFont="1" applyFill="1" applyBorder="1" applyAlignment="1" applyProtection="1">
      <alignment horizontal="right"/>
    </xf>
    <xf numFmtId="38" fontId="23" fillId="4" borderId="19" xfId="30" applyNumberFormat="1" applyFont="1" applyFill="1" applyBorder="1" applyAlignment="1" applyProtection="1">
      <alignment horizontal="right"/>
    </xf>
    <xf numFmtId="38" fontId="23" fillId="4" borderId="10" xfId="31" applyNumberFormat="1" applyFont="1" applyFill="1" applyBorder="1" applyAlignment="1" applyProtection="1">
      <alignment horizontal="right"/>
    </xf>
    <xf numFmtId="0" fontId="23" fillId="0" borderId="0" xfId="0" applyFont="1" applyProtection="1"/>
    <xf numFmtId="0" fontId="19" fillId="0" borderId="75" xfId="0" applyFont="1" applyFill="1" applyBorder="1" applyAlignment="1" applyProtection="1">
      <alignment horizontal="left" vertical="center" indent="1"/>
    </xf>
    <xf numFmtId="0" fontId="29" fillId="0" borderId="0" xfId="0" applyFont="1" applyAlignment="1" applyProtection="1">
      <alignment horizontal="left" vertical="center"/>
    </xf>
    <xf numFmtId="167" fontId="23" fillId="0" borderId="0" xfId="0" applyNumberFormat="1" applyFont="1" applyProtection="1"/>
    <xf numFmtId="0" fontId="21" fillId="0" borderId="0" xfId="0" applyFont="1" applyBorder="1" applyAlignment="1" applyProtection="1">
      <alignment horizontal="center" vertical="center"/>
    </xf>
    <xf numFmtId="0" fontId="23" fillId="0" borderId="0" xfId="0" applyFont="1" applyBorder="1" applyAlignment="1" applyProtection="1">
      <alignment horizontal="left" indent="1"/>
    </xf>
    <xf numFmtId="0" fontId="23" fillId="0" borderId="0" xfId="0" applyFont="1" applyAlignment="1" applyProtection="1">
      <alignment horizontal="left" indent="1"/>
    </xf>
    <xf numFmtId="0" fontId="34" fillId="0" borderId="0" xfId="0" applyFont="1" applyAlignment="1" applyProtection="1">
      <alignment horizontal="left" vertical="top"/>
    </xf>
    <xf numFmtId="0" fontId="32" fillId="0" borderId="0" xfId="0" applyFont="1" applyBorder="1" applyAlignment="1" applyProtection="1">
      <alignment horizontal="center" vertical="center"/>
    </xf>
    <xf numFmtId="0" fontId="24" fillId="0" borderId="0" xfId="0" applyFont="1" applyProtection="1"/>
    <xf numFmtId="0" fontId="23" fillId="0" borderId="0" xfId="0" applyFont="1" applyBorder="1" applyProtection="1"/>
    <xf numFmtId="0" fontId="33" fillId="0" borderId="0" xfId="0" applyFont="1" applyAlignment="1" applyProtection="1">
      <alignment horizontal="left" vertical="center"/>
    </xf>
    <xf numFmtId="0" fontId="35" fillId="0" borderId="0" xfId="0" applyFont="1" applyAlignment="1" applyProtection="1">
      <alignment horizontal="left" indent="2"/>
    </xf>
    <xf numFmtId="49" fontId="23" fillId="0" borderId="0" xfId="0" applyNumberFormat="1" applyFont="1" applyBorder="1" applyAlignment="1" applyProtection="1">
      <alignment horizontal="center"/>
    </xf>
    <xf numFmtId="0" fontId="24" fillId="0" borderId="0" xfId="0" applyFont="1" applyBorder="1" applyAlignment="1" applyProtection="1">
      <alignment horizontal="center" vertical="center"/>
    </xf>
    <xf numFmtId="49" fontId="36" fillId="0" borderId="0" xfId="0" applyNumberFormat="1" applyFont="1" applyAlignment="1" applyProtection="1">
      <alignment horizontal="center" vertical="center"/>
    </xf>
    <xf numFmtId="49" fontId="24" fillId="0" borderId="0" xfId="0" applyNumberFormat="1" applyFont="1" applyAlignment="1" applyProtection="1">
      <alignment horizontal="center" vertical="center"/>
    </xf>
    <xf numFmtId="49" fontId="37" fillId="0" borderId="0" xfId="0" applyNumberFormat="1" applyFont="1" applyBorder="1" applyAlignment="1" applyProtection="1">
      <alignment horizontal="center" vertical="top"/>
    </xf>
    <xf numFmtId="0" fontId="21" fillId="0" borderId="0" xfId="0" applyFont="1" applyProtection="1"/>
    <xf numFmtId="0" fontId="24" fillId="0" borderId="0" xfId="0" applyFont="1" applyBorder="1" applyAlignment="1" applyProtection="1">
      <alignment horizontal="left" indent="1"/>
    </xf>
    <xf numFmtId="49" fontId="35" fillId="0" borderId="0" xfId="0" applyNumberFormat="1" applyFont="1" applyBorder="1" applyAlignment="1" applyProtection="1">
      <alignment horizontal="left" indent="2"/>
    </xf>
    <xf numFmtId="49" fontId="35" fillId="0" borderId="0" xfId="0" applyNumberFormat="1" applyFont="1" applyBorder="1" applyAlignment="1" applyProtection="1">
      <alignment horizontal="left" vertical="center"/>
    </xf>
    <xf numFmtId="164" fontId="24" fillId="0" borderId="0" xfId="0" applyNumberFormat="1" applyFont="1" applyBorder="1" applyAlignment="1" applyProtection="1">
      <alignment horizontal="left" indent="1"/>
    </xf>
    <xf numFmtId="0" fontId="19" fillId="0" borderId="76" xfId="0" applyFont="1" applyFill="1" applyBorder="1" applyAlignment="1" applyProtection="1">
      <alignment horizontal="left" vertical="center" indent="1"/>
    </xf>
    <xf numFmtId="168" fontId="23" fillId="0" borderId="0" xfId="0" applyNumberFormat="1" applyFont="1" applyBorder="1" applyAlignment="1" applyProtection="1">
      <alignment horizontal="left" vertical="center"/>
    </xf>
    <xf numFmtId="49" fontId="35" fillId="0" borderId="0" xfId="0" applyNumberFormat="1" applyFont="1" applyBorder="1" applyAlignment="1" applyProtection="1">
      <alignment horizontal="left" vertical="center" wrapText="1"/>
    </xf>
    <xf numFmtId="168" fontId="23" fillId="0" borderId="0" xfId="0" applyNumberFormat="1" applyFont="1" applyBorder="1" applyAlignment="1" applyProtection="1">
      <alignment horizontal="left" vertical="center" wrapText="1"/>
    </xf>
    <xf numFmtId="0" fontId="23" fillId="0" borderId="0" xfId="0" applyFont="1" applyBorder="1" applyAlignment="1" applyProtection="1">
      <alignment wrapText="1"/>
    </xf>
    <xf numFmtId="0" fontId="23" fillId="0" borderId="0" xfId="0" applyFont="1" applyAlignment="1" applyProtection="1">
      <alignment wrapText="1"/>
    </xf>
    <xf numFmtId="49" fontId="35" fillId="0" borderId="44" xfId="0" applyNumberFormat="1" applyFont="1" applyBorder="1" applyAlignment="1" applyProtection="1">
      <alignment horizontal="left" vertical="center"/>
    </xf>
    <xf numFmtId="168" fontId="23" fillId="0" borderId="44" xfId="0" applyNumberFormat="1" applyFont="1" applyBorder="1" applyAlignment="1" applyProtection="1">
      <alignment horizontal="left" vertical="center"/>
    </xf>
    <xf numFmtId="0" fontId="23" fillId="0" borderId="44" xfId="0" applyFont="1" applyBorder="1" applyProtection="1"/>
    <xf numFmtId="0" fontId="23" fillId="0" borderId="68" xfId="0" applyFont="1" applyBorder="1" applyProtection="1"/>
    <xf numFmtId="0" fontId="23" fillId="0" borderId="45" xfId="0" applyFont="1" applyBorder="1" applyProtection="1"/>
    <xf numFmtId="168" fontId="23" fillId="0" borderId="45" xfId="0" applyNumberFormat="1" applyFont="1" applyBorder="1" applyAlignment="1" applyProtection="1">
      <alignment horizontal="left" vertical="center"/>
    </xf>
    <xf numFmtId="0" fontId="39" fillId="0" borderId="0" xfId="0" applyFont="1" applyBorder="1" applyAlignment="1" applyProtection="1">
      <alignment horizontal="left"/>
    </xf>
    <xf numFmtId="0" fontId="24" fillId="0" borderId="0" xfId="0" applyFont="1" applyBorder="1" applyAlignment="1" applyProtection="1">
      <alignment horizontal="center"/>
    </xf>
    <xf numFmtId="49" fontId="33" fillId="0" borderId="0" xfId="0" applyNumberFormat="1" applyFont="1" applyBorder="1" applyAlignment="1" applyProtection="1">
      <alignment horizontal="left"/>
    </xf>
    <xf numFmtId="167" fontId="24" fillId="0" borderId="4" xfId="0" applyNumberFormat="1" applyFont="1" applyBorder="1" applyAlignment="1" applyProtection="1">
      <alignment horizontal="center"/>
    </xf>
    <xf numFmtId="167" fontId="24" fillId="0" borderId="0" xfId="0" applyNumberFormat="1" applyFont="1" applyBorder="1" applyAlignment="1" applyProtection="1">
      <alignment horizontal="center"/>
    </xf>
    <xf numFmtId="0" fontId="24" fillId="0" borderId="0" xfId="0" applyFont="1" applyBorder="1" applyAlignment="1" applyProtection="1"/>
    <xf numFmtId="0" fontId="23" fillId="0" borderId="0" xfId="0" applyFont="1" applyBorder="1" applyAlignment="1" applyProtection="1"/>
    <xf numFmtId="0" fontId="27" fillId="0" borderId="0" xfId="0" applyFont="1" applyBorder="1" applyAlignment="1" applyProtection="1">
      <alignment horizontal="left"/>
    </xf>
    <xf numFmtId="0" fontId="24" fillId="0" borderId="0" xfId="0" applyFont="1" applyBorder="1" applyAlignment="1" applyProtection="1">
      <alignment horizontal="left"/>
    </xf>
    <xf numFmtId="0" fontId="24" fillId="0" borderId="0" xfId="0" applyFont="1" applyBorder="1" applyProtection="1"/>
    <xf numFmtId="0" fontId="24" fillId="0" borderId="0" xfId="0" applyFont="1" applyBorder="1" applyAlignment="1" applyProtection="1">
      <alignment horizontal="right"/>
    </xf>
    <xf numFmtId="0" fontId="23" fillId="0" borderId="0" xfId="0" applyFont="1" applyBorder="1" applyAlignment="1" applyProtection="1">
      <alignment horizontal="right"/>
    </xf>
    <xf numFmtId="49" fontId="24" fillId="0" borderId="0" xfId="0" applyNumberFormat="1" applyFont="1" applyBorder="1" applyAlignment="1" applyProtection="1">
      <alignment horizontal="center"/>
    </xf>
    <xf numFmtId="0" fontId="40" fillId="0" borderId="0" xfId="0" applyFont="1" applyProtection="1"/>
    <xf numFmtId="0" fontId="21" fillId="0" borderId="0" xfId="0" applyFont="1" applyBorder="1" applyAlignment="1" applyProtection="1">
      <alignment horizontal="center"/>
    </xf>
    <xf numFmtId="0" fontId="24" fillId="0" borderId="0" xfId="0" applyFont="1" applyBorder="1" applyAlignment="1" applyProtection="1">
      <alignment horizontal="right" vertical="center"/>
    </xf>
    <xf numFmtId="0" fontId="23" fillId="0" borderId="0" xfId="52" applyFont="1" applyProtection="1"/>
    <xf numFmtId="49" fontId="19" fillId="0" borderId="0" xfId="0" applyNumberFormat="1" applyFont="1" applyBorder="1" applyAlignment="1" applyProtection="1">
      <alignment horizontal="right" vertical="center"/>
    </xf>
    <xf numFmtId="0" fontId="19" fillId="0" borderId="0" xfId="0" applyFont="1" applyAlignment="1" applyProtection="1">
      <alignment horizontal="left" vertical="center"/>
    </xf>
    <xf numFmtId="0" fontId="23" fillId="0" borderId="0" xfId="0" applyFont="1" applyAlignment="1" applyProtection="1">
      <alignment horizontal="right" vertical="top"/>
    </xf>
    <xf numFmtId="49" fontId="19" fillId="0" borderId="0" xfId="0" applyNumberFormat="1" applyFont="1" applyAlignment="1" applyProtection="1">
      <alignment horizontal="right"/>
    </xf>
    <xf numFmtId="0" fontId="42" fillId="0" borderId="0" xfId="0" applyFont="1" applyBorder="1" applyAlignment="1" applyProtection="1">
      <alignment horizontal="left" indent="3"/>
    </xf>
    <xf numFmtId="0" fontId="19" fillId="0" borderId="0" xfId="0" applyFont="1" applyBorder="1" applyProtection="1"/>
    <xf numFmtId="0" fontId="23" fillId="0" borderId="103" xfId="0" applyFont="1" applyBorder="1" applyProtection="1"/>
    <xf numFmtId="0" fontId="19" fillId="0" borderId="0" xfId="52" applyFont="1" applyAlignment="1" applyProtection="1">
      <alignment vertical="center"/>
    </xf>
    <xf numFmtId="49" fontId="21" fillId="0" borderId="14" xfId="51" applyNumberFormat="1" applyFont="1" applyBorder="1" applyAlignment="1">
      <alignment horizontal="center" vertical="center" wrapText="1"/>
    </xf>
    <xf numFmtId="38" fontId="23" fillId="0" borderId="2" xfId="33" applyNumberFormat="1" applyFont="1" applyFill="1" applyBorder="1" applyAlignment="1" applyProtection="1">
      <alignment horizontal="right"/>
      <protection locked="0"/>
    </xf>
    <xf numFmtId="38" fontId="23" fillId="10" borderId="25" xfId="33" applyNumberFormat="1" applyFont="1" applyFill="1" applyBorder="1" applyAlignment="1" applyProtection="1">
      <alignment horizontal="right"/>
    </xf>
    <xf numFmtId="38" fontId="23" fillId="4" borderId="15" xfId="33" applyNumberFormat="1" applyFont="1" applyFill="1" applyBorder="1" applyAlignment="1" applyProtection="1">
      <alignment horizontal="right"/>
    </xf>
    <xf numFmtId="38" fontId="23" fillId="3" borderId="15" xfId="33" applyNumberFormat="1" applyFont="1" applyFill="1" applyBorder="1" applyAlignment="1" applyProtection="1">
      <alignment horizontal="right"/>
    </xf>
    <xf numFmtId="38" fontId="23" fillId="4" borderId="15" xfId="34" applyNumberFormat="1" applyFont="1" applyFill="1" applyBorder="1" applyAlignment="1" applyProtection="1">
      <alignment horizontal="right"/>
    </xf>
    <xf numFmtId="38" fontId="23" fillId="4" borderId="19" xfId="34" applyNumberFormat="1" applyFont="1" applyFill="1" applyBorder="1" applyAlignment="1" applyProtection="1">
      <alignment horizontal="right"/>
    </xf>
    <xf numFmtId="38" fontId="23" fillId="3" borderId="20" xfId="34" applyNumberFormat="1" applyFont="1" applyFill="1" applyBorder="1" applyAlignment="1" applyProtection="1">
      <alignment horizontal="right"/>
    </xf>
    <xf numFmtId="38" fontId="23" fillId="4" borderId="23" xfId="34" applyNumberFormat="1" applyFont="1" applyFill="1" applyBorder="1" applyAlignment="1" applyProtection="1">
      <alignment horizontal="right"/>
    </xf>
    <xf numFmtId="38" fontId="23" fillId="10" borderId="67" xfId="34" applyNumberFormat="1" applyFont="1" applyFill="1" applyBorder="1" applyAlignment="1" applyProtection="1">
      <alignment horizontal="right"/>
    </xf>
    <xf numFmtId="38" fontId="23" fillId="4" borderId="0" xfId="34" applyNumberFormat="1" applyFont="1" applyFill="1" applyBorder="1" applyAlignment="1" applyProtection="1">
      <alignment horizontal="right"/>
    </xf>
    <xf numFmtId="38" fontId="23" fillId="3" borderId="8" xfId="34" applyNumberFormat="1" applyFont="1" applyFill="1" applyBorder="1" applyAlignment="1" applyProtection="1">
      <alignment horizontal="right"/>
    </xf>
    <xf numFmtId="38" fontId="23" fillId="4" borderId="3" xfId="34" applyNumberFormat="1" applyFont="1" applyFill="1" applyBorder="1" applyAlignment="1" applyProtection="1">
      <alignment horizontal="right"/>
    </xf>
    <xf numFmtId="38" fontId="23" fillId="3" borderId="13" xfId="34" applyNumberFormat="1" applyFont="1" applyFill="1" applyBorder="1" applyAlignment="1" applyProtection="1">
      <alignment horizontal="right"/>
    </xf>
    <xf numFmtId="38" fontId="23" fillId="4" borderId="7" xfId="34" applyNumberFormat="1" applyFont="1" applyFill="1" applyBorder="1" applyAlignment="1" applyProtection="1">
      <alignment horizontal="right"/>
    </xf>
    <xf numFmtId="38" fontId="23" fillId="3" borderId="0" xfId="34" applyNumberFormat="1" applyFont="1" applyFill="1" applyBorder="1" applyAlignment="1" applyProtection="1">
      <alignment horizontal="right"/>
    </xf>
    <xf numFmtId="38" fontId="23" fillId="3" borderId="15" xfId="34" applyNumberFormat="1" applyFont="1" applyFill="1" applyBorder="1" applyAlignment="1" applyProtection="1">
      <alignment horizontal="right"/>
    </xf>
    <xf numFmtId="38" fontId="23" fillId="9" borderId="15" xfId="34" applyNumberFormat="1" applyFont="1" applyFill="1" applyBorder="1" applyAlignment="1" applyProtection="1">
      <alignment horizontal="right"/>
    </xf>
    <xf numFmtId="38" fontId="23" fillId="4" borderId="50" xfId="34" applyNumberFormat="1" applyFont="1" applyFill="1" applyBorder="1" applyAlignment="1" applyProtection="1">
      <alignment horizontal="right"/>
    </xf>
    <xf numFmtId="38" fontId="23" fillId="4" borderId="10" xfId="34" applyNumberFormat="1" applyFont="1" applyFill="1" applyBorder="1" applyAlignment="1" applyProtection="1">
      <alignment horizontal="right"/>
    </xf>
    <xf numFmtId="38" fontId="23" fillId="4" borderId="9" xfId="34" applyNumberFormat="1" applyFont="1" applyFill="1" applyBorder="1" applyAlignment="1" applyProtection="1">
      <alignment horizontal="right"/>
    </xf>
    <xf numFmtId="38" fontId="23" fillId="10" borderId="25" xfId="34" applyNumberFormat="1" applyFont="1" applyFill="1" applyBorder="1" applyAlignment="1" applyProtection="1">
      <alignment horizontal="right"/>
    </xf>
    <xf numFmtId="38" fontId="23" fillId="10" borderId="16" xfId="34" applyNumberFormat="1" applyFont="1" applyFill="1" applyBorder="1" applyAlignment="1" applyProtection="1">
      <alignment horizontal="right"/>
    </xf>
    <xf numFmtId="38" fontId="23" fillId="3" borderId="8" xfId="49" applyNumberFormat="1" applyFont="1" applyFill="1" applyBorder="1" applyAlignment="1" applyProtection="1">
      <alignment horizontal="right"/>
    </xf>
    <xf numFmtId="38" fontId="23" fillId="0" borderId="15" xfId="49" applyNumberFormat="1" applyFont="1" applyBorder="1" applyAlignment="1" applyProtection="1">
      <alignment horizontal="right"/>
      <protection locked="0"/>
    </xf>
    <xf numFmtId="38" fontId="23" fillId="3" borderId="8" xfId="50" applyNumberFormat="1" applyFont="1" applyFill="1" applyBorder="1" applyAlignment="1" applyProtection="1">
      <alignment horizontal="right"/>
    </xf>
    <xf numFmtId="38" fontId="23" fillId="0" borderId="15" xfId="50" applyNumberFormat="1" applyFont="1" applyBorder="1" applyAlignment="1" applyProtection="1">
      <alignment horizontal="right"/>
      <protection locked="0"/>
    </xf>
    <xf numFmtId="38" fontId="23" fillId="0" borderId="15" xfId="49" applyNumberFormat="1" applyFont="1" applyFill="1" applyBorder="1" applyAlignment="1" applyProtection="1">
      <alignment horizontal="right"/>
      <protection locked="0"/>
    </xf>
    <xf numFmtId="38" fontId="23" fillId="3" borderId="15" xfId="49" applyNumberFormat="1" applyFont="1" applyFill="1" applyBorder="1" applyAlignment="1" applyProtection="1">
      <alignment horizontal="right"/>
    </xf>
    <xf numFmtId="38" fontId="23" fillId="8" borderId="7" xfId="49" applyNumberFormat="1" applyFont="1" applyFill="1" applyBorder="1" applyAlignment="1" applyProtection="1">
      <alignment horizontal="right"/>
    </xf>
    <xf numFmtId="38" fontId="23" fillId="3" borderId="2" xfId="49" applyNumberFormat="1" applyFont="1" applyFill="1" applyBorder="1" applyAlignment="1" applyProtection="1">
      <alignment horizontal="right"/>
    </xf>
    <xf numFmtId="38" fontId="23" fillId="3" borderId="13" xfId="49" applyNumberFormat="1" applyFont="1" applyFill="1" applyBorder="1" applyAlignment="1" applyProtection="1">
      <alignment horizontal="right"/>
    </xf>
    <xf numFmtId="49" fontId="19" fillId="0" borderId="7" xfId="0" applyNumberFormat="1" applyFont="1" applyBorder="1" applyAlignment="1" applyProtection="1">
      <alignment horizontal="left" vertical="center" wrapText="1" indent="1"/>
    </xf>
    <xf numFmtId="38" fontId="23" fillId="8" borderId="15" xfId="49" applyNumberFormat="1" applyFont="1" applyFill="1" applyBorder="1" applyAlignment="1" applyProtection="1">
      <alignment horizontal="right"/>
    </xf>
    <xf numFmtId="38" fontId="23" fillId="3" borderId="3" xfId="49" applyNumberFormat="1" applyFont="1" applyFill="1" applyBorder="1" applyAlignment="1" applyProtection="1">
      <alignment horizontal="right"/>
    </xf>
    <xf numFmtId="0" fontId="19" fillId="0" borderId="7" xfId="0" applyFont="1" applyBorder="1" applyAlignment="1" applyProtection="1">
      <alignment horizontal="left" vertical="center" wrapText="1" indent="1"/>
    </xf>
    <xf numFmtId="38" fontId="23" fillId="3" borderId="3" xfId="50" applyNumberFormat="1" applyFont="1" applyFill="1" applyBorder="1" applyAlignment="1" applyProtection="1">
      <alignment horizontal="right"/>
    </xf>
    <xf numFmtId="38" fontId="23" fillId="3" borderId="15" xfId="50" applyNumberFormat="1" applyFont="1" applyFill="1" applyBorder="1" applyAlignment="1" applyProtection="1">
      <alignment horizontal="right"/>
    </xf>
    <xf numFmtId="38" fontId="23" fillId="0" borderId="15" xfId="50" applyNumberFormat="1" applyFont="1" applyFill="1" applyBorder="1" applyAlignment="1" applyProtection="1">
      <alignment horizontal="right"/>
      <protection locked="0"/>
    </xf>
    <xf numFmtId="38" fontId="23" fillId="3" borderId="48" xfId="50" applyNumberFormat="1" applyFont="1" applyFill="1" applyBorder="1" applyAlignment="1" applyProtection="1">
      <alignment horizontal="right"/>
    </xf>
    <xf numFmtId="38" fontId="23" fillId="8" borderId="15" xfId="50" applyNumberFormat="1" applyFont="1" applyFill="1" applyBorder="1" applyAlignment="1" applyProtection="1">
      <alignment horizontal="right"/>
    </xf>
    <xf numFmtId="38" fontId="23" fillId="3" borderId="2" xfId="50" applyNumberFormat="1" applyFont="1" applyFill="1" applyBorder="1" applyAlignment="1" applyProtection="1">
      <alignment horizontal="right"/>
    </xf>
    <xf numFmtId="38" fontId="23" fillId="3" borderId="13" xfId="50" applyNumberFormat="1" applyFont="1" applyFill="1" applyBorder="1" applyAlignment="1" applyProtection="1">
      <alignment horizontal="right"/>
    </xf>
    <xf numFmtId="38" fontId="28" fillId="3" borderId="8" xfId="50" applyNumberFormat="1" applyFont="1" applyFill="1" applyBorder="1" applyAlignment="1" applyProtection="1">
      <alignment horizontal="right"/>
    </xf>
    <xf numFmtId="38" fontId="23" fillId="4" borderId="23" xfId="0" applyNumberFormat="1" applyFont="1" applyFill="1" applyBorder="1" applyAlignment="1" applyProtection="1">
      <alignment horizontal="right"/>
    </xf>
    <xf numFmtId="38" fontId="23" fillId="3" borderId="9" xfId="36" applyNumberFormat="1" applyFont="1" applyFill="1" applyBorder="1" applyAlignment="1" applyProtection="1">
      <alignment horizontal="right"/>
    </xf>
    <xf numFmtId="38" fontId="23" fillId="3" borderId="0" xfId="36" applyNumberFormat="1" applyFont="1" applyFill="1" applyBorder="1" applyAlignment="1" applyProtection="1">
      <alignment horizontal="right"/>
    </xf>
    <xf numFmtId="38" fontId="23" fillId="3" borderId="8" xfId="36" applyNumberFormat="1" applyFont="1" applyFill="1" applyBorder="1" applyAlignment="1" applyProtection="1">
      <alignment horizontal="right"/>
    </xf>
    <xf numFmtId="38" fontId="23" fillId="3" borderId="8" xfId="36" applyNumberFormat="1" applyFont="1" applyFill="1" applyBorder="1" applyAlignment="1" applyProtection="1">
      <alignment horizontal="left"/>
    </xf>
    <xf numFmtId="38" fontId="23" fillId="9" borderId="3" xfId="36" applyNumberFormat="1" applyFont="1" applyFill="1" applyBorder="1" applyAlignment="1" applyProtection="1">
      <alignment horizontal="right"/>
    </xf>
    <xf numFmtId="38" fontId="23" fillId="0" borderId="2" xfId="36" applyNumberFormat="1" applyFont="1" applyFill="1" applyBorder="1" applyAlignment="1" applyProtection="1">
      <alignment horizontal="right"/>
      <protection locked="0"/>
    </xf>
    <xf numFmtId="38" fontId="23" fillId="3" borderId="2" xfId="36" applyNumberFormat="1" applyFont="1" applyFill="1" applyBorder="1" applyAlignment="1" applyProtection="1">
      <alignment horizontal="right"/>
    </xf>
    <xf numFmtId="38" fontId="23" fillId="0" borderId="15" xfId="36" applyNumberFormat="1" applyFont="1" applyFill="1" applyBorder="1" applyAlignment="1" applyProtection="1">
      <alignment horizontal="right"/>
      <protection locked="0"/>
    </xf>
    <xf numFmtId="38" fontId="23" fillId="3" borderId="3" xfId="36" applyNumberFormat="1" applyFont="1" applyFill="1" applyBorder="1" applyAlignment="1" applyProtection="1">
      <alignment horizontal="right"/>
    </xf>
    <xf numFmtId="38" fontId="23" fillId="0" borderId="3" xfId="36" applyNumberFormat="1" applyFont="1" applyFill="1" applyBorder="1" applyAlignment="1" applyProtection="1">
      <alignment horizontal="right"/>
      <protection locked="0"/>
    </xf>
    <xf numFmtId="165" fontId="19" fillId="0" borderId="1" xfId="0" applyNumberFormat="1" applyFont="1" applyFill="1" applyBorder="1" applyAlignment="1" applyProtection="1">
      <alignment horizontal="left" vertical="center" indent="1" readingOrder="1"/>
    </xf>
    <xf numFmtId="165" fontId="19" fillId="0" borderId="1" xfId="0" applyNumberFormat="1" applyFont="1" applyFill="1" applyBorder="1" applyAlignment="1" applyProtection="1">
      <alignment horizontal="left" vertical="center" indent="1"/>
    </xf>
    <xf numFmtId="165" fontId="19" fillId="0" borderId="1" xfId="0" applyNumberFormat="1" applyFont="1" applyFill="1" applyBorder="1" applyAlignment="1" applyProtection="1">
      <alignment horizontal="left" vertical="center" wrapText="1" indent="1"/>
    </xf>
    <xf numFmtId="0" fontId="19" fillId="0" borderId="0" xfId="0" applyFont="1" applyFill="1" applyAlignment="1" applyProtection="1">
      <alignment horizontal="left" vertical="center" indent="1"/>
    </xf>
    <xf numFmtId="38" fontId="23" fillId="4" borderId="19" xfId="36" applyNumberFormat="1" applyFont="1" applyFill="1" applyBorder="1" applyAlignment="1" applyProtection="1">
      <alignment horizontal="right"/>
    </xf>
    <xf numFmtId="0" fontId="21" fillId="0" borderId="0" xfId="34" applyFont="1" applyFill="1" applyBorder="1" applyAlignment="1" applyProtection="1">
      <alignment horizontal="centerContinuous" vertical="center"/>
    </xf>
    <xf numFmtId="0" fontId="22" fillId="0" borderId="69" xfId="34" applyFont="1" applyFill="1" applyBorder="1" applyAlignment="1" applyProtection="1">
      <alignment horizontal="center" vertical="top" wrapText="1"/>
    </xf>
    <xf numFmtId="49" fontId="22" fillId="0" borderId="54" xfId="34" applyNumberFormat="1" applyFont="1" applyFill="1" applyBorder="1" applyAlignment="1" applyProtection="1">
      <alignment horizontal="center" vertical="top"/>
    </xf>
    <xf numFmtId="0" fontId="21" fillId="0" borderId="74" xfId="34" applyFont="1" applyFill="1" applyBorder="1" applyAlignment="1" applyProtection="1">
      <alignment horizontal="center" vertical="top" wrapText="1"/>
    </xf>
    <xf numFmtId="49" fontId="21" fillId="0" borderId="70" xfId="34" applyNumberFormat="1" applyFont="1" applyFill="1" applyBorder="1" applyAlignment="1" applyProtection="1">
      <alignment horizontal="center" vertical="top" wrapText="1"/>
    </xf>
    <xf numFmtId="0" fontId="24" fillId="0" borderId="0" xfId="0" applyFont="1"/>
    <xf numFmtId="38" fontId="23" fillId="0" borderId="19" xfId="34" applyNumberFormat="1" applyFont="1" applyFill="1" applyBorder="1" applyAlignment="1" applyProtection="1">
      <alignment horizontal="right"/>
      <protection locked="0"/>
    </xf>
    <xf numFmtId="38" fontId="23" fillId="10" borderId="61" xfId="34" applyNumberFormat="1" applyFont="1" applyFill="1" applyBorder="1" applyAlignment="1" applyProtection="1">
      <alignment horizontal="right"/>
    </xf>
    <xf numFmtId="38" fontId="23" fillId="0" borderId="3" xfId="34" applyNumberFormat="1" applyFont="1" applyFill="1" applyBorder="1" applyAlignment="1" applyProtection="1">
      <alignment horizontal="right"/>
      <protection locked="0"/>
    </xf>
    <xf numFmtId="38" fontId="23" fillId="14" borderId="8" xfId="34" applyNumberFormat="1" applyFont="1" applyFill="1" applyBorder="1" applyAlignment="1" applyProtection="1">
      <alignment horizontal="right"/>
    </xf>
    <xf numFmtId="38" fontId="23" fillId="0" borderId="15" xfId="34" applyNumberFormat="1" applyFont="1" applyFill="1" applyBorder="1" applyAlignment="1" applyProtection="1">
      <alignment horizontal="right"/>
      <protection locked="0"/>
    </xf>
    <xf numFmtId="38" fontId="23" fillId="14" borderId="15" xfId="34" applyNumberFormat="1" applyFont="1" applyFill="1" applyBorder="1" applyAlignment="1" applyProtection="1">
      <alignment horizontal="right"/>
    </xf>
    <xf numFmtId="38" fontId="23" fillId="4" borderId="19" xfId="33" applyNumberFormat="1" applyFont="1" applyFill="1" applyBorder="1" applyAlignment="1" applyProtection="1">
      <alignment horizontal="right"/>
    </xf>
    <xf numFmtId="38" fontId="23" fillId="4" borderId="10" xfId="33" applyNumberFormat="1" applyFont="1" applyFill="1" applyBorder="1" applyAlignment="1" applyProtection="1">
      <alignment horizontal="right"/>
    </xf>
    <xf numFmtId="38" fontId="19" fillId="10" borderId="67" xfId="34" applyNumberFormat="1" applyFont="1" applyFill="1" applyBorder="1" applyAlignment="1" applyProtection="1">
      <alignment horizontal="right" vertical="center"/>
    </xf>
    <xf numFmtId="38" fontId="19" fillId="10" borderId="61" xfId="34" applyNumberFormat="1" applyFont="1" applyFill="1" applyBorder="1" applyAlignment="1" applyProtection="1">
      <alignment horizontal="right" vertical="center"/>
    </xf>
    <xf numFmtId="38" fontId="23" fillId="4" borderId="8" xfId="34" applyNumberFormat="1" applyFont="1" applyFill="1" applyBorder="1" applyAlignment="1" applyProtection="1">
      <alignment horizontal="right"/>
    </xf>
    <xf numFmtId="0" fontId="24" fillId="0" borderId="0" xfId="0" applyFont="1" applyAlignment="1">
      <alignment horizontal="left"/>
    </xf>
    <xf numFmtId="0" fontId="21" fillId="0" borderId="7" xfId="34" applyFont="1" applyBorder="1" applyAlignment="1" applyProtection="1">
      <alignment vertical="center" wrapText="1"/>
    </xf>
    <xf numFmtId="49" fontId="21" fillId="0" borderId="8" xfId="6" applyNumberFormat="1" applyFont="1" applyBorder="1" applyAlignment="1" applyProtection="1">
      <alignment horizontal="center" vertical="center" wrapText="1"/>
    </xf>
    <xf numFmtId="38" fontId="23" fillId="10" borderId="16" xfId="33" applyNumberFormat="1" applyFont="1" applyFill="1" applyBorder="1" applyAlignment="1" applyProtection="1">
      <alignment horizontal="right"/>
    </xf>
    <xf numFmtId="38" fontId="23" fillId="11" borderId="7" xfId="33" applyNumberFormat="1" applyFont="1" applyFill="1" applyBorder="1" applyAlignment="1" applyProtection="1">
      <alignment horizontal="right"/>
    </xf>
    <xf numFmtId="38" fontId="23" fillId="11" borderId="25" xfId="33" applyNumberFormat="1" applyFont="1" applyFill="1" applyBorder="1" applyAlignment="1" applyProtection="1">
      <alignment horizontal="right"/>
    </xf>
    <xf numFmtId="38" fontId="23" fillId="11" borderId="16" xfId="33" applyNumberFormat="1" applyFont="1" applyFill="1" applyBorder="1" applyAlignment="1" applyProtection="1">
      <alignment horizontal="right"/>
    </xf>
    <xf numFmtId="38" fontId="23" fillId="0" borderId="102" xfId="33" applyNumberFormat="1" applyFont="1" applyBorder="1" applyAlignment="1" applyProtection="1">
      <alignment horizontal="right"/>
      <protection locked="0"/>
    </xf>
    <xf numFmtId="38" fontId="23" fillId="4" borderId="3" xfId="33" applyNumberFormat="1" applyFont="1" applyFill="1" applyBorder="1" applyAlignment="1" applyProtection="1">
      <alignment horizontal="right"/>
    </xf>
    <xf numFmtId="38" fontId="23" fillId="3" borderId="57" xfId="33" applyNumberFormat="1" applyFont="1" applyFill="1" applyBorder="1" applyAlignment="1" applyProtection="1">
      <alignment horizontal="right"/>
    </xf>
    <xf numFmtId="38" fontId="23" fillId="3" borderId="55" xfId="33" applyNumberFormat="1" applyFont="1" applyFill="1" applyBorder="1" applyAlignment="1" applyProtection="1">
      <alignment horizontal="right"/>
    </xf>
    <xf numFmtId="38" fontId="23" fillId="0" borderId="66" xfId="33" applyNumberFormat="1" applyFont="1" applyBorder="1" applyAlignment="1" applyProtection="1">
      <alignment horizontal="right"/>
      <protection locked="0"/>
    </xf>
    <xf numFmtId="38" fontId="23" fillId="0" borderId="15" xfId="33" applyNumberFormat="1" applyFont="1" applyBorder="1" applyAlignment="1" applyProtection="1">
      <alignment horizontal="right"/>
      <protection locked="0"/>
    </xf>
    <xf numFmtId="38" fontId="23" fillId="0" borderId="53" xfId="33" applyNumberFormat="1" applyFont="1" applyFill="1" applyBorder="1" applyAlignment="1" applyProtection="1">
      <alignment horizontal="right"/>
      <protection locked="0"/>
    </xf>
    <xf numFmtId="38" fontId="23" fillId="3" borderId="54" xfId="33" applyNumberFormat="1" applyFont="1" applyFill="1" applyBorder="1" applyAlignment="1" applyProtection="1">
      <alignment horizontal="right"/>
    </xf>
    <xf numFmtId="38" fontId="23" fillId="3" borderId="17" xfId="33" applyNumberFormat="1" applyFont="1" applyFill="1" applyBorder="1" applyAlignment="1" applyProtection="1">
      <alignment horizontal="right"/>
    </xf>
    <xf numFmtId="38" fontId="23" fillId="3" borderId="56" xfId="33" applyNumberFormat="1" applyFont="1" applyFill="1" applyBorder="1" applyAlignment="1" applyProtection="1">
      <alignment horizontal="right"/>
    </xf>
    <xf numFmtId="38" fontId="23" fillId="3" borderId="18" xfId="33" applyNumberFormat="1" applyFont="1" applyFill="1" applyBorder="1" applyAlignment="1" applyProtection="1">
      <alignment horizontal="right"/>
    </xf>
    <xf numFmtId="38" fontId="23" fillId="11" borderId="21" xfId="33" applyNumberFormat="1" applyFont="1" applyFill="1" applyBorder="1" applyAlignment="1" applyProtection="1">
      <alignment horizontal="right"/>
    </xf>
    <xf numFmtId="38" fontId="23" fillId="11" borderId="67" xfId="33" applyNumberFormat="1" applyFont="1" applyFill="1" applyBorder="1" applyAlignment="1" applyProtection="1">
      <alignment horizontal="right"/>
    </xf>
    <xf numFmtId="38" fontId="23" fillId="11" borderId="61" xfId="33" applyNumberFormat="1" applyFont="1" applyFill="1" applyBorder="1" applyAlignment="1" applyProtection="1">
      <alignment horizontal="right"/>
    </xf>
    <xf numFmtId="38" fontId="23" fillId="3" borderId="14" xfId="33" applyNumberFormat="1" applyFont="1" applyFill="1" applyBorder="1" applyAlignment="1" applyProtection="1">
      <alignment horizontal="right"/>
    </xf>
    <xf numFmtId="38" fontId="23" fillId="3" borderId="43" xfId="33" applyNumberFormat="1" applyFont="1" applyFill="1" applyBorder="1" applyAlignment="1" applyProtection="1">
      <alignment horizontal="right"/>
    </xf>
    <xf numFmtId="38" fontId="23" fillId="3" borderId="47" xfId="33" applyNumberFormat="1" applyFont="1" applyFill="1" applyBorder="1" applyAlignment="1" applyProtection="1">
      <alignment horizontal="right"/>
    </xf>
    <xf numFmtId="38" fontId="23" fillId="3" borderId="21" xfId="34" applyNumberFormat="1" applyFont="1" applyFill="1" applyBorder="1" applyAlignment="1" applyProtection="1">
      <alignment horizontal="right"/>
    </xf>
    <xf numFmtId="38" fontId="23" fillId="3" borderId="67" xfId="34" applyNumberFormat="1" applyFont="1" applyFill="1" applyBorder="1" applyAlignment="1" applyProtection="1">
      <alignment horizontal="right"/>
    </xf>
    <xf numFmtId="38" fontId="23" fillId="3" borderId="61" xfId="34" applyNumberFormat="1" applyFont="1" applyFill="1" applyBorder="1" applyAlignment="1" applyProtection="1">
      <alignment horizontal="right"/>
    </xf>
    <xf numFmtId="38" fontId="23" fillId="4" borderId="2" xfId="33" applyNumberFormat="1" applyFont="1" applyFill="1" applyBorder="1" applyAlignment="1" applyProtection="1">
      <alignment horizontal="right"/>
    </xf>
    <xf numFmtId="38" fontId="23" fillId="4" borderId="19" xfId="35" applyNumberFormat="1" applyFont="1" applyFill="1" applyBorder="1" applyAlignment="1" applyProtection="1">
      <alignment horizontal="right"/>
    </xf>
    <xf numFmtId="38" fontId="23" fillId="3" borderId="21" xfId="35" applyNumberFormat="1" applyFont="1" applyFill="1" applyBorder="1" applyAlignment="1" applyProtection="1">
      <alignment horizontal="right"/>
    </xf>
    <xf numFmtId="38" fontId="23" fillId="3" borderId="67" xfId="35" applyNumberFormat="1" applyFont="1" applyFill="1" applyBorder="1" applyAlignment="1" applyProtection="1">
      <alignment horizontal="right"/>
    </xf>
    <xf numFmtId="38" fontId="23" fillId="3" borderId="61" xfId="35" applyNumberFormat="1" applyFont="1" applyFill="1" applyBorder="1" applyAlignment="1" applyProtection="1">
      <alignment horizontal="right"/>
    </xf>
    <xf numFmtId="38" fontId="23" fillId="4" borderId="23" xfId="35" applyNumberFormat="1" applyFont="1" applyFill="1" applyBorder="1" applyAlignment="1" applyProtection="1">
      <alignment horizontal="right"/>
    </xf>
    <xf numFmtId="38" fontId="23" fillId="4" borderId="20" xfId="33" applyNumberFormat="1" applyFont="1" applyFill="1" applyBorder="1" applyAlignment="1" applyProtection="1">
      <alignment horizontal="right"/>
    </xf>
    <xf numFmtId="38" fontId="23" fillId="4" borderId="23" xfId="33" applyNumberFormat="1" applyFont="1" applyFill="1" applyBorder="1" applyAlignment="1" applyProtection="1">
      <alignment horizontal="right"/>
    </xf>
    <xf numFmtId="38" fontId="23" fillId="11" borderId="21" xfId="35" applyNumberFormat="1" applyFont="1" applyFill="1" applyBorder="1" applyAlignment="1" applyProtection="1">
      <alignment horizontal="right"/>
    </xf>
    <xf numFmtId="38" fontId="23" fillId="11" borderId="67" xfId="35" applyNumberFormat="1" applyFont="1" applyFill="1" applyBorder="1" applyAlignment="1" applyProtection="1">
      <alignment horizontal="right"/>
    </xf>
    <xf numFmtId="38" fontId="23" fillId="11" borderId="61" xfId="35" applyNumberFormat="1" applyFont="1" applyFill="1" applyBorder="1" applyAlignment="1" applyProtection="1">
      <alignment horizontal="right"/>
    </xf>
    <xf numFmtId="38" fontId="23" fillId="3" borderId="7" xfId="35" applyNumberFormat="1" applyFont="1" applyFill="1" applyBorder="1" applyAlignment="1" applyProtection="1">
      <alignment horizontal="right"/>
    </xf>
    <xf numFmtId="38" fontId="23" fillId="3" borderId="25" xfId="35" applyNumberFormat="1" applyFont="1" applyFill="1" applyBorder="1" applyAlignment="1" applyProtection="1">
      <alignment horizontal="right"/>
    </xf>
    <xf numFmtId="38" fontId="23" fillId="3" borderId="16" xfId="35" applyNumberFormat="1" applyFont="1" applyFill="1" applyBorder="1" applyAlignment="1" applyProtection="1">
      <alignment horizontal="right"/>
    </xf>
    <xf numFmtId="38" fontId="23" fillId="3" borderId="8" xfId="35" applyNumberFormat="1" applyFont="1" applyFill="1" applyBorder="1" applyAlignment="1" applyProtection="1">
      <alignment horizontal="right"/>
    </xf>
    <xf numFmtId="38" fontId="23" fillId="3" borderId="12" xfId="35" applyNumberFormat="1" applyFont="1" applyFill="1" applyBorder="1" applyAlignment="1" applyProtection="1">
      <alignment horizontal="right"/>
    </xf>
    <xf numFmtId="38" fontId="23" fillId="3" borderId="12" xfId="36" applyNumberFormat="1" applyFont="1" applyFill="1" applyBorder="1" applyAlignment="1" applyProtection="1">
      <alignment horizontal="right"/>
    </xf>
    <xf numFmtId="38" fontId="23" fillId="4" borderId="26" xfId="36" applyNumberFormat="1" applyFont="1" applyFill="1" applyBorder="1" applyAlignment="1" applyProtection="1">
      <alignment horizontal="right"/>
    </xf>
    <xf numFmtId="38" fontId="23" fillId="4" borderId="23" xfId="36" applyNumberFormat="1" applyFont="1" applyFill="1" applyBorder="1" applyAlignment="1" applyProtection="1">
      <alignment horizontal="right"/>
    </xf>
    <xf numFmtId="38" fontId="23" fillId="0" borderId="20" xfId="36" applyNumberFormat="1" applyFont="1" applyFill="1" applyBorder="1" applyAlignment="1" applyProtection="1">
      <alignment horizontal="right"/>
      <protection locked="0"/>
    </xf>
    <xf numFmtId="38" fontId="23" fillId="4" borderId="20" xfId="36" applyNumberFormat="1" applyFont="1" applyFill="1" applyBorder="1" applyAlignment="1" applyProtection="1">
      <alignment horizontal="right"/>
    </xf>
    <xf numFmtId="38" fontId="23" fillId="11" borderId="7" xfId="36" applyNumberFormat="1" applyFont="1" applyFill="1" applyBorder="1" applyAlignment="1" applyProtection="1">
      <alignment horizontal="right"/>
    </xf>
    <xf numFmtId="38" fontId="23" fillId="11" borderId="25" xfId="36" applyNumberFormat="1" applyFont="1" applyFill="1" applyBorder="1" applyAlignment="1" applyProtection="1">
      <alignment horizontal="right"/>
    </xf>
    <xf numFmtId="38" fontId="23" fillId="11" borderId="43" xfId="36" applyNumberFormat="1" applyFont="1" applyFill="1" applyBorder="1" applyAlignment="1" applyProtection="1">
      <alignment horizontal="right"/>
    </xf>
    <xf numFmtId="38" fontId="23" fillId="11" borderId="47" xfId="36" applyNumberFormat="1" applyFont="1" applyFill="1" applyBorder="1" applyAlignment="1" applyProtection="1">
      <alignment horizontal="right"/>
    </xf>
    <xf numFmtId="38" fontId="23" fillId="0" borderId="0" xfId="36" applyNumberFormat="1" applyFont="1" applyFill="1" applyBorder="1" applyAlignment="1" applyProtection="1">
      <alignment horizontal="right"/>
    </xf>
    <xf numFmtId="38" fontId="23" fillId="11" borderId="7" xfId="37" applyNumberFormat="1" applyFont="1" applyFill="1" applyBorder="1" applyAlignment="1" applyProtection="1">
      <alignment horizontal="right"/>
    </xf>
    <xf numFmtId="38" fontId="23" fillId="11" borderId="25" xfId="37" applyNumberFormat="1" applyFont="1" applyFill="1" applyBorder="1" applyAlignment="1" applyProtection="1">
      <alignment horizontal="right"/>
    </xf>
    <xf numFmtId="38" fontId="23" fillId="11" borderId="16" xfId="37" applyNumberFormat="1" applyFont="1" applyFill="1" applyBorder="1" applyAlignment="1" applyProtection="1">
      <alignment horizontal="right"/>
    </xf>
    <xf numFmtId="38" fontId="23" fillId="3" borderId="8" xfId="37" applyNumberFormat="1" applyFont="1" applyFill="1" applyBorder="1" applyAlignment="1" applyProtection="1">
      <alignment horizontal="right"/>
    </xf>
    <xf numFmtId="38" fontId="23" fillId="3" borderId="0" xfId="37" applyNumberFormat="1" applyFont="1" applyFill="1" applyBorder="1" applyAlignment="1" applyProtection="1">
      <alignment horizontal="right"/>
    </xf>
    <xf numFmtId="38" fontId="23" fillId="0" borderId="15" xfId="37" applyNumberFormat="1" applyFont="1" applyFill="1" applyBorder="1" applyAlignment="1" applyProtection="1">
      <alignment horizontal="right"/>
      <protection locked="0"/>
    </xf>
    <xf numFmtId="38" fontId="23" fillId="3" borderId="15" xfId="37" applyNumberFormat="1" applyFont="1" applyFill="1" applyBorder="1" applyAlignment="1" applyProtection="1">
      <alignment horizontal="right"/>
    </xf>
    <xf numFmtId="38" fontId="23" fillId="4" borderId="19" xfId="37" applyNumberFormat="1" applyFont="1" applyFill="1" applyBorder="1" applyAlignment="1" applyProtection="1">
      <alignment horizontal="right"/>
    </xf>
    <xf numFmtId="38" fontId="23" fillId="0" borderId="20" xfId="37" applyNumberFormat="1" applyFont="1" applyBorder="1" applyAlignment="1" applyProtection="1">
      <alignment horizontal="right"/>
      <protection locked="0"/>
    </xf>
    <xf numFmtId="38" fontId="23" fillId="0" borderId="20" xfId="37" applyNumberFormat="1" applyFont="1" applyFill="1" applyBorder="1" applyAlignment="1" applyProtection="1">
      <alignment horizontal="right"/>
      <protection locked="0"/>
    </xf>
    <xf numFmtId="38" fontId="23" fillId="4" borderId="23" xfId="37" applyNumberFormat="1" applyFont="1" applyFill="1" applyBorder="1" applyAlignment="1" applyProtection="1">
      <alignment horizontal="right"/>
    </xf>
    <xf numFmtId="38" fontId="23" fillId="0" borderId="10" xfId="37" applyNumberFormat="1" applyFont="1" applyFill="1" applyBorder="1" applyAlignment="1" applyProtection="1">
      <alignment horizontal="right"/>
      <protection locked="0"/>
    </xf>
    <xf numFmtId="38" fontId="23" fillId="0" borderId="24" xfId="37" applyNumberFormat="1" applyFont="1" applyFill="1" applyBorder="1" applyAlignment="1" applyProtection="1">
      <alignment horizontal="right"/>
      <protection locked="0"/>
    </xf>
    <xf numFmtId="38" fontId="23" fillId="0" borderId="23" xfId="37" applyNumberFormat="1" applyFont="1" applyFill="1" applyBorder="1" applyAlignment="1" applyProtection="1">
      <alignment horizontal="right"/>
      <protection locked="0"/>
    </xf>
    <xf numFmtId="38" fontId="23" fillId="11" borderId="21" xfId="37" applyNumberFormat="1" applyFont="1" applyFill="1" applyBorder="1" applyAlignment="1" applyProtection="1">
      <alignment horizontal="right"/>
    </xf>
    <xf numFmtId="38" fontId="23" fillId="11" borderId="67" xfId="37" applyNumberFormat="1" applyFont="1" applyFill="1" applyBorder="1" applyAlignment="1" applyProtection="1">
      <alignment horizontal="right"/>
    </xf>
    <xf numFmtId="38" fontId="23" fillId="11" borderId="61" xfId="37" applyNumberFormat="1" applyFont="1" applyFill="1" applyBorder="1" applyAlignment="1" applyProtection="1">
      <alignment horizontal="right"/>
    </xf>
    <xf numFmtId="38" fontId="23" fillId="3" borderId="14" xfId="37" applyNumberFormat="1" applyFont="1" applyFill="1" applyBorder="1" applyAlignment="1" applyProtection="1">
      <alignment horizontal="right"/>
    </xf>
    <xf numFmtId="38" fontId="23" fillId="0" borderId="14" xfId="37" applyNumberFormat="1" applyFont="1" applyFill="1" applyBorder="1" applyAlignment="1" applyProtection="1">
      <alignment horizontal="right"/>
      <protection locked="0"/>
    </xf>
    <xf numFmtId="38" fontId="23" fillId="9" borderId="3" xfId="37" applyNumberFormat="1" applyFont="1" applyFill="1" applyBorder="1" applyAlignment="1" applyProtection="1">
      <alignment horizontal="right"/>
    </xf>
    <xf numFmtId="38" fontId="23" fillId="3" borderId="8" xfId="38" applyNumberFormat="1" applyFont="1" applyFill="1" applyBorder="1" applyAlignment="1" applyProtection="1">
      <alignment horizontal="right"/>
    </xf>
    <xf numFmtId="38" fontId="23" fillId="3" borderId="0" xfId="38" applyNumberFormat="1" applyFont="1" applyFill="1" applyBorder="1" applyAlignment="1" applyProtection="1">
      <alignment horizontal="right"/>
    </xf>
    <xf numFmtId="38" fontId="23" fillId="0" borderId="15" xfId="38" applyNumberFormat="1" applyFont="1" applyFill="1" applyBorder="1" applyAlignment="1" applyProtection="1">
      <alignment horizontal="right"/>
      <protection locked="0"/>
    </xf>
    <xf numFmtId="38" fontId="23" fillId="4" borderId="23" xfId="38" applyNumberFormat="1" applyFont="1" applyFill="1" applyBorder="1" applyAlignment="1" applyProtection="1">
      <alignment horizontal="right"/>
    </xf>
    <xf numFmtId="38" fontId="23" fillId="3" borderId="10" xfId="37" applyNumberFormat="1" applyFont="1" applyFill="1" applyBorder="1" applyAlignment="1" applyProtection="1">
      <alignment horizontal="right"/>
    </xf>
    <xf numFmtId="38" fontId="23" fillId="0" borderId="9" xfId="38" applyNumberFormat="1" applyFont="1" applyBorder="1" applyAlignment="1" applyProtection="1">
      <alignment horizontal="right"/>
      <protection locked="0"/>
    </xf>
    <xf numFmtId="38" fontId="23" fillId="4" borderId="0" xfId="38" applyNumberFormat="1" applyFont="1" applyFill="1" applyBorder="1" applyAlignment="1" applyProtection="1">
      <alignment horizontal="right"/>
    </xf>
    <xf numFmtId="38" fontId="23" fillId="4" borderId="10" xfId="38" applyNumberFormat="1" applyFont="1" applyFill="1" applyBorder="1" applyAlignment="1" applyProtection="1">
      <alignment horizontal="right"/>
    </xf>
    <xf numFmtId="38" fontId="23" fillId="3" borderId="9" xfId="38" applyNumberFormat="1" applyFont="1" applyFill="1" applyBorder="1" applyAlignment="1" applyProtection="1">
      <alignment horizontal="right"/>
    </xf>
    <xf numFmtId="38" fontId="23" fillId="4" borderId="19" xfId="38" applyNumberFormat="1" applyFont="1" applyFill="1" applyBorder="1" applyAlignment="1" applyProtection="1">
      <alignment horizontal="right"/>
    </xf>
    <xf numFmtId="38" fontId="23" fillId="0" borderId="10" xfId="38" applyNumberFormat="1" applyFont="1" applyFill="1" applyBorder="1" applyAlignment="1" applyProtection="1">
      <alignment horizontal="right"/>
      <protection locked="0"/>
    </xf>
    <xf numFmtId="38" fontId="23" fillId="3" borderId="20" xfId="38" applyNumberFormat="1" applyFont="1" applyFill="1" applyBorder="1" applyAlignment="1" applyProtection="1">
      <alignment horizontal="right"/>
    </xf>
    <xf numFmtId="38" fontId="23" fillId="3" borderId="67" xfId="38" applyNumberFormat="1" applyFont="1" applyFill="1" applyBorder="1" applyAlignment="1" applyProtection="1">
      <alignment horizontal="right"/>
    </xf>
    <xf numFmtId="38" fontId="23" fillId="3" borderId="61" xfId="38" applyNumberFormat="1" applyFont="1" applyFill="1" applyBorder="1" applyAlignment="1" applyProtection="1">
      <alignment horizontal="right"/>
    </xf>
    <xf numFmtId="38" fontId="23" fillId="0" borderId="0" xfId="38" applyNumberFormat="1" applyFont="1" applyFill="1" applyBorder="1" applyAlignment="1" applyProtection="1">
      <alignment horizontal="right"/>
    </xf>
    <xf numFmtId="38" fontId="23" fillId="10" borderId="7" xfId="39" applyNumberFormat="1" applyFont="1" applyFill="1" applyBorder="1" applyAlignment="1" applyProtection="1">
      <alignment horizontal="right"/>
    </xf>
    <xf numFmtId="38" fontId="23" fillId="10" borderId="25" xfId="39" applyNumberFormat="1" applyFont="1" applyFill="1" applyBorder="1" applyAlignment="1" applyProtection="1">
      <alignment horizontal="right"/>
    </xf>
    <xf numFmtId="38" fontId="23" fillId="10" borderId="4" xfId="39" applyNumberFormat="1" applyFont="1" applyFill="1" applyBorder="1" applyAlignment="1" applyProtection="1">
      <alignment horizontal="right"/>
    </xf>
    <xf numFmtId="38" fontId="23" fillId="10" borderId="16" xfId="39" applyNumberFormat="1" applyFont="1" applyFill="1" applyBorder="1" applyAlignment="1" applyProtection="1">
      <alignment horizontal="right"/>
    </xf>
    <xf numFmtId="38" fontId="23" fillId="11" borderId="7" xfId="39" applyNumberFormat="1" applyFont="1" applyFill="1" applyBorder="1" applyAlignment="1" applyProtection="1">
      <alignment horizontal="right"/>
    </xf>
    <xf numFmtId="38" fontId="23" fillId="11" borderId="25" xfId="39" applyNumberFormat="1" applyFont="1" applyFill="1" applyBorder="1" applyAlignment="1" applyProtection="1">
      <alignment horizontal="right"/>
    </xf>
    <xf numFmtId="38" fontId="23" fillId="11" borderId="16" xfId="39" applyNumberFormat="1" applyFont="1" applyFill="1" applyBorder="1" applyAlignment="1" applyProtection="1">
      <alignment horizontal="right"/>
    </xf>
    <xf numFmtId="38" fontId="23" fillId="3" borderId="8" xfId="39" applyNumberFormat="1" applyFont="1" applyFill="1" applyBorder="1" applyAlignment="1" applyProtection="1">
      <alignment horizontal="right"/>
    </xf>
    <xf numFmtId="38" fontId="23" fillId="3" borderId="0" xfId="39" applyNumberFormat="1" applyFont="1" applyFill="1" applyBorder="1" applyAlignment="1" applyProtection="1">
      <alignment horizontal="right"/>
    </xf>
    <xf numFmtId="38" fontId="23" fillId="0" borderId="15" xfId="39" applyNumberFormat="1" applyFont="1" applyFill="1" applyBorder="1" applyAlignment="1" applyProtection="1">
      <alignment horizontal="right"/>
      <protection locked="0"/>
    </xf>
    <xf numFmtId="38" fontId="23" fillId="9" borderId="15" xfId="39" applyNumberFormat="1" applyFont="1" applyFill="1" applyBorder="1" applyAlignment="1" applyProtection="1">
      <alignment horizontal="right"/>
    </xf>
    <xf numFmtId="38" fontId="23" fillId="0" borderId="12" xfId="39" applyNumberFormat="1" applyFont="1" applyFill="1" applyBorder="1" applyAlignment="1" applyProtection="1">
      <alignment horizontal="right"/>
      <protection locked="0"/>
    </xf>
    <xf numFmtId="38" fontId="23" fillId="9" borderId="8" xfId="39" applyNumberFormat="1" applyFont="1" applyFill="1" applyBorder="1" applyAlignment="1" applyProtection="1">
      <alignment horizontal="right"/>
    </xf>
    <xf numFmtId="38" fontId="23" fillId="3" borderId="12" xfId="39" applyNumberFormat="1" applyFont="1" applyFill="1" applyBorder="1" applyAlignment="1" applyProtection="1">
      <alignment horizontal="right"/>
    </xf>
    <xf numFmtId="38" fontId="23" fillId="9" borderId="19" xfId="39" applyNumberFormat="1" applyFont="1" applyFill="1" applyBorder="1" applyAlignment="1" applyProtection="1">
      <alignment horizontal="right"/>
    </xf>
    <xf numFmtId="38" fontId="23" fillId="11" borderId="43" xfId="39" applyNumberFormat="1" applyFont="1" applyFill="1" applyBorder="1" applyAlignment="1" applyProtection="1">
      <alignment horizontal="right"/>
    </xf>
    <xf numFmtId="38" fontId="23" fillId="11" borderId="47" xfId="39" applyNumberFormat="1" applyFont="1" applyFill="1" applyBorder="1" applyAlignment="1" applyProtection="1">
      <alignment horizontal="right"/>
    </xf>
    <xf numFmtId="38" fontId="23" fillId="3" borderId="3" xfId="39" applyNumberFormat="1" applyFont="1" applyFill="1" applyBorder="1" applyAlignment="1" applyProtection="1">
      <alignment horizontal="right"/>
    </xf>
    <xf numFmtId="38" fontId="23" fillId="0" borderId="15" xfId="39" applyNumberFormat="1" applyFont="1" applyBorder="1" applyAlignment="1" applyProtection="1">
      <alignment horizontal="right"/>
      <protection locked="0"/>
    </xf>
    <xf numFmtId="38" fontId="23" fillId="4" borderId="19" xfId="39" applyNumberFormat="1" applyFont="1" applyFill="1" applyBorder="1" applyAlignment="1" applyProtection="1">
      <alignment horizontal="right"/>
    </xf>
    <xf numFmtId="38" fontId="23" fillId="0" borderId="20" xfId="39" applyNumberFormat="1" applyFont="1" applyBorder="1" applyAlignment="1" applyProtection="1">
      <alignment horizontal="right"/>
      <protection locked="0"/>
    </xf>
    <xf numFmtId="38" fontId="23" fillId="3" borderId="13" xfId="39" applyNumberFormat="1" applyFont="1" applyFill="1" applyBorder="1" applyAlignment="1" applyProtection="1">
      <alignment horizontal="right"/>
    </xf>
    <xf numFmtId="38" fontId="23" fillId="4" borderId="58" xfId="39" applyNumberFormat="1" applyFont="1" applyFill="1" applyBorder="1" applyAlignment="1" applyProtection="1">
      <alignment horizontal="right"/>
    </xf>
    <xf numFmtId="38" fontId="23" fillId="0" borderId="27" xfId="39" applyNumberFormat="1" applyFont="1" applyFill="1" applyBorder="1" applyAlignment="1" applyProtection="1">
      <alignment horizontal="right"/>
      <protection locked="0"/>
    </xf>
    <xf numFmtId="38" fontId="23" fillId="3" borderId="20" xfId="39" applyNumberFormat="1" applyFont="1" applyFill="1" applyBorder="1" applyAlignment="1" applyProtection="1">
      <alignment horizontal="right"/>
    </xf>
    <xf numFmtId="38" fontId="23" fillId="3" borderId="43" xfId="39" applyNumberFormat="1" applyFont="1" applyFill="1" applyBorder="1" applyAlignment="1" applyProtection="1">
      <alignment horizontal="right"/>
    </xf>
    <xf numFmtId="38" fontId="23" fillId="4" borderId="10" xfId="39" applyNumberFormat="1" applyFont="1" applyFill="1" applyBorder="1" applyAlignment="1" applyProtection="1">
      <alignment horizontal="right"/>
    </xf>
    <xf numFmtId="38" fontId="23" fillId="0" borderId="0" xfId="39" applyNumberFormat="1" applyFont="1" applyFill="1" applyBorder="1" applyAlignment="1" applyProtection="1">
      <alignment horizontal="right"/>
    </xf>
    <xf numFmtId="38" fontId="23" fillId="0" borderId="13" xfId="39" applyNumberFormat="1" applyFont="1" applyFill="1" applyBorder="1" applyAlignment="1" applyProtection="1">
      <alignment horizontal="right"/>
    </xf>
    <xf numFmtId="38" fontId="23" fillId="10" borderId="25" xfId="40" applyNumberFormat="1" applyFont="1" applyFill="1" applyBorder="1" applyAlignment="1" applyProtection="1">
      <alignment horizontal="right"/>
    </xf>
    <xf numFmtId="38" fontId="23" fillId="10" borderId="16" xfId="40" applyNumberFormat="1" applyFont="1" applyFill="1" applyBorder="1" applyAlignment="1" applyProtection="1">
      <alignment horizontal="right"/>
    </xf>
    <xf numFmtId="38" fontId="23" fillId="11" borderId="25" xfId="40" applyNumberFormat="1" applyFont="1" applyFill="1" applyBorder="1" applyAlignment="1" applyProtection="1">
      <alignment horizontal="right"/>
    </xf>
    <xf numFmtId="38" fontId="23" fillId="11" borderId="16" xfId="40" applyNumberFormat="1" applyFont="1" applyFill="1" applyBorder="1" applyAlignment="1" applyProtection="1">
      <alignment horizontal="right"/>
    </xf>
    <xf numFmtId="38" fontId="23" fillId="3" borderId="8" xfId="40" applyNumberFormat="1" applyFont="1" applyFill="1" applyBorder="1" applyAlignment="1" applyProtection="1">
      <alignment horizontal="right"/>
    </xf>
    <xf numFmtId="38" fontId="23" fillId="0" borderId="15" xfId="40" applyNumberFormat="1" applyFont="1" applyBorder="1" applyAlignment="1" applyProtection="1">
      <alignment horizontal="right"/>
      <protection locked="0"/>
    </xf>
    <xf numFmtId="38" fontId="23" fillId="0" borderId="15" xfId="40" applyNumberFormat="1" applyFont="1" applyFill="1" applyBorder="1" applyAlignment="1" applyProtection="1">
      <alignment horizontal="right"/>
      <protection locked="0"/>
    </xf>
    <xf numFmtId="38" fontId="23" fillId="4" borderId="23" xfId="40" applyNumberFormat="1" applyFont="1" applyFill="1" applyBorder="1" applyAlignment="1" applyProtection="1">
      <alignment horizontal="right"/>
    </xf>
    <xf numFmtId="38" fontId="23" fillId="11" borderId="21" xfId="40" applyNumberFormat="1" applyFont="1" applyFill="1" applyBorder="1" applyAlignment="1" applyProtection="1">
      <alignment horizontal="right"/>
    </xf>
    <xf numFmtId="38" fontId="23" fillId="11" borderId="67" xfId="40" applyNumberFormat="1" applyFont="1" applyFill="1" applyBorder="1" applyAlignment="1" applyProtection="1">
      <alignment horizontal="right"/>
    </xf>
    <xf numFmtId="38" fontId="23" fillId="11" borderId="61" xfId="40" applyNumberFormat="1" applyFont="1" applyFill="1" applyBorder="1" applyAlignment="1" applyProtection="1">
      <alignment horizontal="right"/>
    </xf>
    <xf numFmtId="38" fontId="23" fillId="3" borderId="0" xfId="40" applyNumberFormat="1" applyFont="1" applyFill="1" applyBorder="1" applyAlignment="1" applyProtection="1">
      <alignment horizontal="right"/>
    </xf>
    <xf numFmtId="38" fontId="23" fillId="3" borderId="12" xfId="40" applyNumberFormat="1" applyFont="1" applyFill="1" applyBorder="1" applyAlignment="1" applyProtection="1">
      <alignment horizontal="right"/>
    </xf>
    <xf numFmtId="38" fontId="23" fillId="4" borderId="19" xfId="40" applyNumberFormat="1" applyFont="1" applyFill="1" applyBorder="1" applyAlignment="1" applyProtection="1">
      <alignment horizontal="right"/>
    </xf>
    <xf numFmtId="38" fontId="23" fillId="0" borderId="0" xfId="40" applyNumberFormat="1" applyFont="1" applyBorder="1" applyAlignment="1" applyProtection="1">
      <alignment horizontal="right"/>
      <protection locked="0"/>
    </xf>
    <xf numFmtId="38" fontId="23" fillId="0" borderId="10" xfId="40" applyNumberFormat="1" applyFont="1" applyBorder="1" applyAlignment="1" applyProtection="1">
      <alignment horizontal="right"/>
      <protection locked="0"/>
    </xf>
    <xf numFmtId="38" fontId="23" fillId="4" borderId="10" xfId="40" applyNumberFormat="1" applyFont="1" applyFill="1" applyBorder="1" applyAlignment="1" applyProtection="1">
      <alignment horizontal="right"/>
    </xf>
    <xf numFmtId="38" fontId="23" fillId="11" borderId="7" xfId="40" applyNumberFormat="1" applyFont="1" applyFill="1" applyBorder="1" applyAlignment="1" applyProtection="1">
      <alignment horizontal="right"/>
    </xf>
    <xf numFmtId="38" fontId="23" fillId="11" borderId="43" xfId="40" applyNumberFormat="1" applyFont="1" applyFill="1" applyBorder="1" applyAlignment="1" applyProtection="1">
      <alignment horizontal="right"/>
    </xf>
    <xf numFmtId="38" fontId="23" fillId="11" borderId="47" xfId="40" applyNumberFormat="1" applyFont="1" applyFill="1" applyBorder="1" applyAlignment="1" applyProtection="1">
      <alignment horizontal="right"/>
    </xf>
    <xf numFmtId="38" fontId="23" fillId="3" borderId="8" xfId="41" applyNumberFormat="1" applyFont="1" applyFill="1" applyBorder="1" applyAlignment="1" applyProtection="1">
      <alignment horizontal="right"/>
    </xf>
    <xf numFmtId="38" fontId="23" fillId="4" borderId="19" xfId="41" applyNumberFormat="1" applyFont="1" applyFill="1" applyBorder="1" applyAlignment="1" applyProtection="1">
      <alignment horizontal="right"/>
    </xf>
    <xf numFmtId="38" fontId="23" fillId="4" borderId="8" xfId="33" applyNumberFormat="1" applyFont="1" applyFill="1" applyBorder="1" applyAlignment="1" applyProtection="1">
      <alignment horizontal="right"/>
    </xf>
    <xf numFmtId="38" fontId="23" fillId="4" borderId="10" xfId="41" applyNumberFormat="1" applyFont="1" applyFill="1" applyBorder="1" applyAlignment="1" applyProtection="1">
      <alignment horizontal="right"/>
    </xf>
    <xf numFmtId="38" fontId="23" fillId="0" borderId="9" xfId="41" applyNumberFormat="1" applyFont="1" applyFill="1" applyBorder="1" applyAlignment="1" applyProtection="1">
      <alignment horizontal="right"/>
      <protection locked="0"/>
    </xf>
    <xf numFmtId="38" fontId="23" fillId="3" borderId="20" xfId="41" applyNumberFormat="1" applyFont="1" applyFill="1" applyBorder="1" applyAlignment="1" applyProtection="1">
      <alignment horizontal="right"/>
    </xf>
    <xf numFmtId="38" fontId="23" fillId="3" borderId="67" xfId="41" applyNumberFormat="1" applyFont="1" applyFill="1" applyBorder="1" applyAlignment="1" applyProtection="1">
      <alignment horizontal="right"/>
    </xf>
    <xf numFmtId="38" fontId="23" fillId="0" borderId="0" xfId="41" applyNumberFormat="1" applyFont="1" applyFill="1" applyBorder="1" applyAlignment="1" applyProtection="1">
      <alignment horizontal="right"/>
    </xf>
    <xf numFmtId="38" fontId="23" fillId="10" borderId="25" xfId="42" applyNumberFormat="1" applyFont="1" applyFill="1" applyBorder="1" applyAlignment="1" applyProtection="1">
      <alignment horizontal="right"/>
    </xf>
    <xf numFmtId="38" fontId="23" fillId="10" borderId="16" xfId="42" applyNumberFormat="1" applyFont="1" applyFill="1" applyBorder="1" applyAlignment="1" applyProtection="1">
      <alignment horizontal="right"/>
    </xf>
    <xf numFmtId="38" fontId="23" fillId="11" borderId="25" xfId="42" applyNumberFormat="1" applyFont="1" applyFill="1" applyBorder="1" applyAlignment="1" applyProtection="1">
      <alignment horizontal="right"/>
    </xf>
    <xf numFmtId="38" fontId="23" fillId="11" borderId="16" xfId="42" applyNumberFormat="1" applyFont="1" applyFill="1" applyBorder="1" applyAlignment="1" applyProtection="1">
      <alignment horizontal="right"/>
    </xf>
    <xf numFmtId="38" fontId="23" fillId="0" borderId="3" xfId="42" applyNumberFormat="1" applyFont="1" applyBorder="1" applyAlignment="1" applyProtection="1">
      <alignment horizontal="right"/>
      <protection locked="0"/>
    </xf>
    <xf numFmtId="38" fontId="23" fillId="3" borderId="8" xfId="42" applyNumberFormat="1" applyFont="1" applyFill="1" applyBorder="1" applyAlignment="1" applyProtection="1">
      <alignment horizontal="right"/>
    </xf>
    <xf numFmtId="38" fontId="23" fillId="4" borderId="19" xfId="42" applyNumberFormat="1" applyFont="1" applyFill="1" applyBorder="1" applyAlignment="1" applyProtection="1">
      <alignment horizontal="right"/>
    </xf>
    <xf numFmtId="38" fontId="23" fillId="11" borderId="43" xfId="42" applyNumberFormat="1" applyFont="1" applyFill="1" applyBorder="1" applyAlignment="1" applyProtection="1">
      <alignment horizontal="right"/>
    </xf>
    <xf numFmtId="38" fontId="23" fillId="11" borderId="7" xfId="42" applyNumberFormat="1" applyFont="1" applyFill="1" applyBorder="1" applyAlignment="1" applyProtection="1">
      <alignment horizontal="right"/>
    </xf>
    <xf numFmtId="38" fontId="23" fillId="11" borderId="47" xfId="42" applyNumberFormat="1" applyFont="1" applyFill="1" applyBorder="1" applyAlignment="1" applyProtection="1">
      <alignment horizontal="right"/>
    </xf>
    <xf numFmtId="38" fontId="23" fillId="3" borderId="8" xfId="43" applyNumberFormat="1" applyFont="1" applyFill="1" applyBorder="1" applyAlignment="1" applyProtection="1">
      <alignment horizontal="right"/>
    </xf>
    <xf numFmtId="38" fontId="23" fillId="3" borderId="12" xfId="43" applyNumberFormat="1" applyFont="1" applyFill="1" applyBorder="1" applyAlignment="1" applyProtection="1">
      <alignment horizontal="right"/>
    </xf>
    <xf numFmtId="38" fontId="23" fillId="3" borderId="13" xfId="43" applyNumberFormat="1" applyFont="1" applyFill="1" applyBorder="1" applyAlignment="1" applyProtection="1">
      <alignment horizontal="right"/>
    </xf>
    <xf numFmtId="38" fontId="23" fillId="4" borderId="28" xfId="43" applyNumberFormat="1" applyFont="1" applyFill="1" applyBorder="1" applyAlignment="1" applyProtection="1">
      <alignment horizontal="right"/>
    </xf>
    <xf numFmtId="38" fontId="23" fillId="4" borderId="19" xfId="43" applyNumberFormat="1" applyFont="1" applyFill="1" applyBorder="1" applyAlignment="1" applyProtection="1">
      <alignment horizontal="right"/>
    </xf>
    <xf numFmtId="38" fontId="23" fillId="3" borderId="12" xfId="44" applyNumberFormat="1" applyFont="1" applyFill="1" applyBorder="1" applyAlignment="1" applyProtection="1">
      <alignment horizontal="right"/>
    </xf>
    <xf numFmtId="38" fontId="23" fillId="3" borderId="8" xfId="44" applyNumberFormat="1" applyFont="1" applyFill="1" applyBorder="1" applyAlignment="1" applyProtection="1">
      <alignment horizontal="right"/>
    </xf>
    <xf numFmtId="38" fontId="23" fillId="4" borderId="19" xfId="44" applyNumberFormat="1" applyFont="1" applyFill="1" applyBorder="1" applyAlignment="1" applyProtection="1">
      <alignment horizontal="right"/>
    </xf>
    <xf numFmtId="38" fontId="23" fillId="3" borderId="20" xfId="44" applyNumberFormat="1" applyFont="1" applyFill="1" applyBorder="1" applyAlignment="1" applyProtection="1">
      <alignment horizontal="right"/>
    </xf>
    <xf numFmtId="38" fontId="23" fillId="3" borderId="13" xfId="44" applyNumberFormat="1" applyFont="1" applyFill="1" applyBorder="1" applyAlignment="1" applyProtection="1">
      <alignment horizontal="right"/>
    </xf>
    <xf numFmtId="38" fontId="23" fillId="0" borderId="20" xfId="44" applyNumberFormat="1" applyFont="1" applyBorder="1" applyAlignment="1" applyProtection="1">
      <alignment horizontal="right"/>
      <protection locked="0"/>
    </xf>
    <xf numFmtId="38" fontId="23" fillId="4" borderId="23" xfId="44" applyNumberFormat="1" applyFont="1" applyFill="1" applyBorder="1" applyAlignment="1" applyProtection="1">
      <alignment horizontal="right"/>
    </xf>
    <xf numFmtId="38" fontId="23" fillId="0" borderId="9" xfId="45" applyNumberFormat="1" applyFont="1" applyBorder="1" applyAlignment="1" applyProtection="1">
      <alignment horizontal="right"/>
      <protection locked="0"/>
    </xf>
    <xf numFmtId="38" fontId="23" fillId="3" borderId="8" xfId="45" applyNumberFormat="1" applyFont="1" applyFill="1" applyBorder="1" applyAlignment="1" applyProtection="1">
      <alignment horizontal="right"/>
    </xf>
    <xf numFmtId="38" fontId="23" fillId="4" borderId="9" xfId="33" applyNumberFormat="1" applyFont="1" applyFill="1" applyBorder="1" applyAlignment="1" applyProtection="1">
      <alignment horizontal="right"/>
    </xf>
    <xf numFmtId="38" fontId="23" fillId="11" borderId="25" xfId="45" applyNumberFormat="1" applyFont="1" applyFill="1" applyBorder="1" applyAlignment="1" applyProtection="1">
      <alignment horizontal="right"/>
    </xf>
    <xf numFmtId="38" fontId="23" fillId="11" borderId="16" xfId="45" applyNumberFormat="1" applyFont="1" applyFill="1" applyBorder="1" applyAlignment="1" applyProtection="1">
      <alignment horizontal="right"/>
    </xf>
    <xf numFmtId="38" fontId="23" fillId="0" borderId="3" xfId="45" applyNumberFormat="1" applyFont="1" applyFill="1" applyBorder="1" applyAlignment="1" applyProtection="1">
      <alignment horizontal="right"/>
      <protection locked="0"/>
    </xf>
    <xf numFmtId="38" fontId="23" fillId="9" borderId="3" xfId="45" applyNumberFormat="1" applyFont="1" applyFill="1" applyBorder="1" applyAlignment="1" applyProtection="1">
      <alignment horizontal="right"/>
    </xf>
    <xf numFmtId="38" fontId="23" fillId="0" borderId="15" xfId="45" applyNumberFormat="1" applyFont="1" applyBorder="1" applyAlignment="1" applyProtection="1">
      <alignment horizontal="right"/>
      <protection locked="0"/>
    </xf>
    <xf numFmtId="38" fontId="23" fillId="4" borderId="19" xfId="45" applyNumberFormat="1" applyFont="1" applyFill="1" applyBorder="1" applyAlignment="1" applyProtection="1">
      <alignment horizontal="right"/>
    </xf>
    <xf numFmtId="38" fontId="23" fillId="11" borderId="47" xfId="45" applyNumberFormat="1" applyFont="1" applyFill="1" applyBorder="1" applyAlignment="1" applyProtection="1">
      <alignment horizontal="right"/>
    </xf>
    <xf numFmtId="38" fontId="23" fillId="3" borderId="13" xfId="45" applyNumberFormat="1" applyFont="1" applyFill="1" applyBorder="1" applyAlignment="1" applyProtection="1">
      <alignment horizontal="right"/>
    </xf>
    <xf numFmtId="38" fontId="23" fillId="3" borderId="0" xfId="45" applyNumberFormat="1" applyFont="1" applyFill="1" applyBorder="1" applyAlignment="1" applyProtection="1">
      <alignment horizontal="right"/>
    </xf>
    <xf numFmtId="38" fontId="23" fillId="3" borderId="3" xfId="45" applyNumberFormat="1" applyFont="1" applyFill="1" applyBorder="1" applyAlignment="1" applyProtection="1">
      <alignment horizontal="right"/>
    </xf>
    <xf numFmtId="38" fontId="23" fillId="3" borderId="43" xfId="45" applyNumberFormat="1" applyFont="1" applyFill="1" applyBorder="1" applyAlignment="1" applyProtection="1">
      <alignment horizontal="right"/>
    </xf>
    <xf numFmtId="38" fontId="23" fillId="4" borderId="10" xfId="45" applyNumberFormat="1" applyFont="1" applyFill="1" applyBorder="1" applyAlignment="1" applyProtection="1">
      <alignment horizontal="right"/>
    </xf>
    <xf numFmtId="38" fontId="23" fillId="0" borderId="0" xfId="45" applyNumberFormat="1" applyFont="1" applyFill="1" applyBorder="1" applyAlignment="1" applyProtection="1">
      <alignment horizontal="right"/>
    </xf>
    <xf numFmtId="38" fontId="23" fillId="10" borderId="7" xfId="46" applyNumberFormat="1" applyFont="1" applyFill="1" applyBorder="1" applyAlignment="1" applyProtection="1">
      <alignment horizontal="right"/>
    </xf>
    <xf numFmtId="38" fontId="23" fillId="10" borderId="25" xfId="46" applyNumberFormat="1" applyFont="1" applyFill="1" applyBorder="1" applyAlignment="1" applyProtection="1">
      <alignment horizontal="right"/>
    </xf>
    <xf numFmtId="38" fontId="23" fillId="10" borderId="16" xfId="46" applyNumberFormat="1" applyFont="1" applyFill="1" applyBorder="1" applyAlignment="1" applyProtection="1">
      <alignment horizontal="right"/>
    </xf>
    <xf numFmtId="38" fontId="23" fillId="11" borderId="7" xfId="46" applyNumberFormat="1" applyFont="1" applyFill="1" applyBorder="1" applyAlignment="1" applyProtection="1">
      <alignment horizontal="right"/>
    </xf>
    <xf numFmtId="38" fontId="23" fillId="11" borderId="25" xfId="46" applyNumberFormat="1" applyFont="1" applyFill="1" applyBorder="1" applyAlignment="1" applyProtection="1">
      <alignment horizontal="right"/>
    </xf>
    <xf numFmtId="38" fontId="23" fillId="11" borderId="16" xfId="46" applyNumberFormat="1" applyFont="1" applyFill="1" applyBorder="1" applyAlignment="1" applyProtection="1">
      <alignment horizontal="right"/>
    </xf>
    <xf numFmtId="38" fontId="23" fillId="3" borderId="8" xfId="46" applyNumberFormat="1" applyFont="1" applyFill="1" applyBorder="1" applyAlignment="1" applyProtection="1">
      <alignment horizontal="right"/>
    </xf>
    <xf numFmtId="38" fontId="23" fillId="3" borderId="3" xfId="46" applyNumberFormat="1" applyFont="1" applyFill="1" applyBorder="1" applyAlignment="1" applyProtection="1">
      <alignment horizontal="right"/>
    </xf>
    <xf numFmtId="38" fontId="23" fillId="3" borderId="14" xfId="46" applyNumberFormat="1" applyFont="1" applyFill="1" applyBorder="1" applyAlignment="1" applyProtection="1">
      <alignment horizontal="right"/>
    </xf>
    <xf numFmtId="38" fontId="23" fillId="4" borderId="19" xfId="46" applyNumberFormat="1" applyFont="1" applyFill="1" applyBorder="1" applyAlignment="1" applyProtection="1">
      <alignment horizontal="right"/>
    </xf>
    <xf numFmtId="38" fontId="23" fillId="11" borderId="14" xfId="46" applyNumberFormat="1" applyFont="1" applyFill="1" applyBorder="1" applyAlignment="1" applyProtection="1">
      <alignment horizontal="right"/>
    </xf>
    <xf numFmtId="38" fontId="23" fillId="11" borderId="43" xfId="46" applyNumberFormat="1" applyFont="1" applyFill="1" applyBorder="1" applyAlignment="1" applyProtection="1">
      <alignment horizontal="right"/>
    </xf>
    <xf numFmtId="38" fontId="23" fillId="11" borderId="47" xfId="46" applyNumberFormat="1" applyFont="1" applyFill="1" applyBorder="1" applyAlignment="1" applyProtection="1">
      <alignment horizontal="right"/>
    </xf>
    <xf numFmtId="38" fontId="23" fillId="3" borderId="0" xfId="46" applyNumberFormat="1" applyFont="1" applyFill="1" applyBorder="1" applyAlignment="1" applyProtection="1">
      <alignment horizontal="right"/>
    </xf>
    <xf numFmtId="38" fontId="23" fillId="9" borderId="2" xfId="46" applyNumberFormat="1" applyFont="1" applyFill="1" applyBorder="1" applyAlignment="1" applyProtection="1">
      <alignment horizontal="right"/>
    </xf>
    <xf numFmtId="38" fontId="23" fillId="4" borderId="2" xfId="46" applyNumberFormat="1" applyFont="1" applyFill="1" applyBorder="1" applyAlignment="1" applyProtection="1">
      <alignment horizontal="right"/>
    </xf>
    <xf numFmtId="38" fontId="23" fillId="3" borderId="12" xfId="46" applyNumberFormat="1" applyFont="1" applyFill="1" applyBorder="1" applyAlignment="1" applyProtection="1">
      <alignment horizontal="right"/>
    </xf>
    <xf numFmtId="38" fontId="23" fillId="0" borderId="58" xfId="46" applyNumberFormat="1" applyFont="1" applyFill="1" applyBorder="1" applyAlignment="1" applyProtection="1">
      <alignment horizontal="right"/>
      <protection locked="0"/>
    </xf>
    <xf numFmtId="38" fontId="23" fillId="4" borderId="23" xfId="46" applyNumberFormat="1" applyFont="1" applyFill="1" applyBorder="1" applyAlignment="1" applyProtection="1">
      <alignment horizontal="right"/>
    </xf>
    <xf numFmtId="38" fontId="23" fillId="8" borderId="19" xfId="46" applyNumberFormat="1" applyFont="1" applyFill="1" applyBorder="1" applyAlignment="1" applyProtection="1">
      <alignment horizontal="right"/>
    </xf>
    <xf numFmtId="38" fontId="23" fillId="4" borderId="10" xfId="46" applyNumberFormat="1" applyFont="1" applyFill="1" applyBorder="1" applyAlignment="1" applyProtection="1">
      <alignment horizontal="right"/>
    </xf>
    <xf numFmtId="38" fontId="23" fillId="0" borderId="0" xfId="46" applyNumberFormat="1" applyFont="1" applyFill="1" applyBorder="1" applyAlignment="1" applyProtection="1">
      <alignment horizontal="right"/>
    </xf>
    <xf numFmtId="38" fontId="23" fillId="10" borderId="25" xfId="46" applyNumberFormat="1" applyFont="1" applyFill="1" applyBorder="1" applyAlignment="1" applyProtection="1">
      <alignment horizontal="left" vertical="center"/>
    </xf>
    <xf numFmtId="38" fontId="23" fillId="10" borderId="7" xfId="48" applyNumberFormat="1" applyFont="1" applyFill="1" applyBorder="1" applyAlignment="1" applyProtection="1">
      <alignment horizontal="right"/>
    </xf>
    <xf numFmtId="38" fontId="23" fillId="10" borderId="25" xfId="48" applyNumberFormat="1" applyFont="1" applyFill="1" applyBorder="1" applyAlignment="1" applyProtection="1">
      <alignment horizontal="right"/>
    </xf>
    <xf numFmtId="38" fontId="23" fillId="10" borderId="16" xfId="48" applyNumberFormat="1" applyFont="1" applyFill="1" applyBorder="1" applyAlignment="1" applyProtection="1">
      <alignment horizontal="right"/>
    </xf>
    <xf numFmtId="38" fontId="23" fillId="11" borderId="7" xfId="48" applyNumberFormat="1" applyFont="1" applyFill="1" applyBorder="1" applyAlignment="1" applyProtection="1">
      <alignment horizontal="right"/>
    </xf>
    <xf numFmtId="38" fontId="23" fillId="11" borderId="25" xfId="48" applyNumberFormat="1" applyFont="1" applyFill="1" applyBorder="1" applyAlignment="1" applyProtection="1">
      <alignment horizontal="right"/>
    </xf>
    <xf numFmtId="38" fontId="23" fillId="11" borderId="16" xfId="48" applyNumberFormat="1" applyFont="1" applyFill="1" applyBorder="1" applyAlignment="1" applyProtection="1">
      <alignment horizontal="right"/>
    </xf>
    <xf numFmtId="38" fontId="23" fillId="3" borderId="8" xfId="48" applyNumberFormat="1" applyFont="1" applyFill="1" applyBorder="1" applyAlignment="1" applyProtection="1">
      <alignment horizontal="right"/>
    </xf>
    <xf numFmtId="38" fontId="23" fillId="0" borderId="15" xfId="48" applyNumberFormat="1" applyFont="1" applyBorder="1" applyAlignment="1" applyProtection="1">
      <alignment horizontal="right"/>
      <protection locked="0"/>
    </xf>
    <xf numFmtId="38" fontId="23" fillId="0" borderId="15" xfId="48" applyNumberFormat="1" applyFont="1" applyFill="1" applyBorder="1" applyAlignment="1" applyProtection="1">
      <alignment horizontal="right"/>
      <protection locked="0"/>
    </xf>
    <xf numFmtId="38" fontId="23" fillId="4" borderId="8" xfId="48" applyNumberFormat="1" applyFont="1" applyFill="1" applyBorder="1" applyAlignment="1" applyProtection="1">
      <alignment horizontal="right"/>
    </xf>
    <xf numFmtId="38" fontId="23" fillId="4" borderId="23" xfId="48" applyNumberFormat="1" applyFont="1" applyFill="1" applyBorder="1" applyAlignment="1" applyProtection="1">
      <alignment horizontal="right"/>
    </xf>
    <xf numFmtId="38" fontId="23" fillId="0" borderId="20" xfId="48" applyNumberFormat="1" applyFont="1" applyBorder="1" applyAlignment="1" applyProtection="1">
      <alignment horizontal="right"/>
      <protection locked="0"/>
    </xf>
    <xf numFmtId="38" fontId="23" fillId="11" borderId="14" xfId="48" applyNumberFormat="1" applyFont="1" applyFill="1" applyBorder="1" applyAlignment="1" applyProtection="1">
      <alignment horizontal="right"/>
    </xf>
    <xf numFmtId="38" fontId="23" fillId="11" borderId="43" xfId="48" applyNumberFormat="1" applyFont="1" applyFill="1" applyBorder="1" applyAlignment="1" applyProtection="1">
      <alignment horizontal="right"/>
    </xf>
    <xf numFmtId="38" fontId="23" fillId="11" borderId="47" xfId="48" applyNumberFormat="1" applyFont="1" applyFill="1" applyBorder="1" applyAlignment="1" applyProtection="1">
      <alignment horizontal="right"/>
    </xf>
    <xf numFmtId="38" fontId="23" fillId="0" borderId="3" xfId="48" applyNumberFormat="1" applyFont="1" applyFill="1" applyBorder="1" applyAlignment="1" applyProtection="1">
      <alignment horizontal="right"/>
      <protection locked="0"/>
    </xf>
    <xf numFmtId="38" fontId="23" fillId="3" borderId="0" xfId="48" applyNumberFormat="1" applyFont="1" applyFill="1" applyBorder="1" applyAlignment="1" applyProtection="1">
      <alignment horizontal="right"/>
    </xf>
    <xf numFmtId="38" fontId="23" fillId="9" borderId="3" xfId="48" applyNumberFormat="1" applyFont="1" applyFill="1" applyBorder="1" applyAlignment="1" applyProtection="1">
      <alignment horizontal="right"/>
    </xf>
    <xf numFmtId="38" fontId="23" fillId="9" borderId="15" xfId="48" applyNumberFormat="1" applyFont="1" applyFill="1" applyBorder="1" applyAlignment="1" applyProtection="1">
      <alignment horizontal="right"/>
    </xf>
    <xf numFmtId="38" fontId="23" fillId="0" borderId="3" xfId="48" applyNumberFormat="1" applyFont="1" applyBorder="1" applyAlignment="1" applyProtection="1">
      <alignment horizontal="right"/>
      <protection locked="0"/>
    </xf>
    <xf numFmtId="38" fontId="23" fillId="4" borderId="19" xfId="48" applyNumberFormat="1" applyFont="1" applyFill="1" applyBorder="1" applyAlignment="1" applyProtection="1">
      <alignment horizontal="right"/>
    </xf>
    <xf numFmtId="38" fontId="23" fillId="8" borderId="19" xfId="33" applyNumberFormat="1" applyFont="1" applyFill="1" applyBorder="1" applyAlignment="1" applyProtection="1">
      <alignment horizontal="right"/>
    </xf>
    <xf numFmtId="38" fontId="23" fillId="0" borderId="10" xfId="48" applyNumberFormat="1" applyFont="1" applyFill="1" applyBorder="1" applyAlignment="1" applyProtection="1">
      <alignment horizontal="right"/>
      <protection locked="0"/>
    </xf>
    <xf numFmtId="0" fontId="19" fillId="0" borderId="0" xfId="0" applyFont="1" applyBorder="1"/>
    <xf numFmtId="0" fontId="24" fillId="0" borderId="0" xfId="0" applyFont="1" applyAlignment="1">
      <alignment vertical="center"/>
    </xf>
    <xf numFmtId="0" fontId="22" fillId="0" borderId="15" xfId="0" applyFont="1" applyBorder="1" applyAlignment="1">
      <alignment horizontal="center" vertical="center" wrapText="1"/>
    </xf>
    <xf numFmtId="0" fontId="21" fillId="0" borderId="15" xfId="0" applyFont="1" applyBorder="1" applyAlignment="1">
      <alignment horizontal="left" vertical="center" wrapText="1" indent="1"/>
    </xf>
    <xf numFmtId="38" fontId="23" fillId="4" borderId="15" xfId="0" applyNumberFormat="1" applyFont="1" applyFill="1" applyBorder="1" applyAlignment="1">
      <alignment horizontal="right" vertical="center"/>
    </xf>
    <xf numFmtId="38" fontId="21" fillId="4" borderId="15" xfId="0" applyNumberFormat="1" applyFont="1" applyFill="1" applyBorder="1" applyAlignment="1">
      <alignment horizontal="right" vertical="center"/>
    </xf>
    <xf numFmtId="0" fontId="24" fillId="0" borderId="0" xfId="0" applyFont="1" applyAlignment="1">
      <alignment horizontal="left" vertical="center"/>
    </xf>
    <xf numFmtId="38" fontId="23" fillId="4" borderId="19" xfId="0" applyNumberFormat="1" applyFont="1" applyFill="1" applyBorder="1" applyAlignment="1">
      <alignment horizontal="right" vertical="center"/>
    </xf>
    <xf numFmtId="38" fontId="23" fillId="3" borderId="15" xfId="0" applyNumberFormat="1" applyFont="1" applyFill="1" applyBorder="1" applyAlignment="1">
      <alignment horizontal="right" vertical="center"/>
    </xf>
    <xf numFmtId="38" fontId="21" fillId="4" borderId="19" xfId="0" applyNumberFormat="1" applyFont="1" applyFill="1" applyBorder="1" applyAlignment="1">
      <alignment horizontal="right" vertical="center"/>
    </xf>
    <xf numFmtId="0" fontId="22" fillId="0" borderId="2" xfId="0" applyFont="1" applyBorder="1" applyAlignment="1">
      <alignment horizontal="left" vertical="center" wrapText="1" indent="2"/>
    </xf>
    <xf numFmtId="38" fontId="23" fillId="4" borderId="23" xfId="0" applyNumberFormat="1" applyFont="1" applyFill="1" applyBorder="1" applyAlignment="1">
      <alignment horizontal="right" vertical="center"/>
    </xf>
    <xf numFmtId="38" fontId="21" fillId="4" borderId="23" xfId="0" applyNumberFormat="1" applyFont="1" applyFill="1" applyBorder="1" applyAlignment="1">
      <alignment horizontal="right" vertical="center"/>
    </xf>
    <xf numFmtId="0" fontId="22" fillId="0" borderId="15" xfId="0" applyFont="1" applyBorder="1" applyAlignment="1">
      <alignment horizontal="left" vertical="center" indent="1"/>
    </xf>
    <xf numFmtId="38" fontId="23" fillId="4" borderId="10" xfId="0" applyNumberFormat="1" applyFont="1" applyFill="1" applyBorder="1" applyAlignment="1">
      <alignment horizontal="right" vertical="center"/>
    </xf>
    <xf numFmtId="0" fontId="37" fillId="0" borderId="0" xfId="0" applyFont="1" applyBorder="1" applyAlignment="1">
      <alignment horizontal="left" vertical="top" wrapText="1" indent="1"/>
    </xf>
    <xf numFmtId="0" fontId="48" fillId="0" borderId="0" xfId="0" applyFont="1" applyBorder="1" applyAlignment="1">
      <alignment horizontal="left" wrapText="1" indent="1"/>
    </xf>
    <xf numFmtId="0" fontId="48" fillId="0" borderId="0" xfId="0" applyFont="1" applyAlignment="1">
      <alignment horizontal="left" wrapText="1" indent="1"/>
    </xf>
    <xf numFmtId="0" fontId="19" fillId="0" borderId="0" xfId="0" applyFont="1" applyAlignment="1">
      <alignment horizontal="left" vertical="center" wrapText="1"/>
    </xf>
    <xf numFmtId="0" fontId="46" fillId="0" borderId="0" xfId="0" applyNumberFormat="1" applyFont="1" applyAlignment="1">
      <alignment horizontal="left" vertical="center" wrapText="1" indent="1"/>
    </xf>
    <xf numFmtId="0" fontId="48" fillId="0" borderId="0" xfId="0" applyFont="1" applyAlignment="1">
      <alignment horizontal="left" vertical="center" wrapText="1" indent="1"/>
    </xf>
    <xf numFmtId="0" fontId="4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NumberFormat="1"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xf numFmtId="38" fontId="23" fillId="0" borderId="15" xfId="0" applyNumberFormat="1" applyFont="1" applyBorder="1" applyAlignment="1" applyProtection="1">
      <alignment vertical="center"/>
      <protection locked="0"/>
    </xf>
    <xf numFmtId="38" fontId="23" fillId="4" borderId="15" xfId="0" applyNumberFormat="1" applyFont="1" applyFill="1" applyBorder="1" applyAlignment="1" applyProtection="1">
      <alignment vertical="center"/>
    </xf>
    <xf numFmtId="38" fontId="23" fillId="0" borderId="15" xfId="0" applyNumberFormat="1" applyFont="1" applyBorder="1" applyAlignment="1" applyProtection="1">
      <protection locked="0"/>
    </xf>
    <xf numFmtId="38" fontId="23" fillId="4" borderId="19" xfId="0" applyNumberFormat="1" applyFont="1" applyFill="1" applyBorder="1" applyAlignment="1" applyProtection="1">
      <alignment vertical="center"/>
    </xf>
    <xf numFmtId="38" fontId="23" fillId="0" borderId="19" xfId="0" applyNumberFormat="1" applyFont="1" applyFill="1" applyBorder="1" applyAlignment="1" applyProtection="1">
      <alignment vertical="center"/>
      <protection locked="0"/>
    </xf>
    <xf numFmtId="38" fontId="23" fillId="0" borderId="10" xfId="0" applyNumberFormat="1" applyFont="1" applyFill="1" applyBorder="1" applyAlignment="1" applyProtection="1">
      <alignment vertical="center"/>
      <protection locked="0"/>
    </xf>
    <xf numFmtId="0" fontId="19" fillId="0" borderId="0" xfId="0" applyFont="1"/>
    <xf numFmtId="0" fontId="23" fillId="0" borderId="0" xfId="0" applyFont="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4" fillId="0" borderId="0" xfId="0" applyFont="1" applyProtection="1">
      <protection locked="0"/>
    </xf>
    <xf numFmtId="0" fontId="24" fillId="0" borderId="0" xfId="0" applyFont="1" applyAlignment="1" applyProtection="1">
      <alignment horizontal="left" vertical="center"/>
      <protection locked="0"/>
    </xf>
    <xf numFmtId="49" fontId="21" fillId="0" borderId="0" xfId="0" applyNumberFormat="1" applyFont="1" applyAlignment="1" applyProtection="1">
      <alignment horizontal="left" indent="2"/>
      <protection locked="0"/>
    </xf>
    <xf numFmtId="0" fontId="23" fillId="0" borderId="38" xfId="0" applyFont="1" applyBorder="1" applyAlignment="1" applyProtection="1">
      <alignment horizontal="left" vertical="center" wrapText="1"/>
      <protection locked="0"/>
    </xf>
    <xf numFmtId="38" fontId="23" fillId="0" borderId="38" xfId="0" applyNumberFormat="1" applyFont="1" applyBorder="1" applyAlignment="1" applyProtection="1">
      <alignment horizontal="right" vertical="center"/>
      <protection locked="0"/>
    </xf>
    <xf numFmtId="0" fontId="23" fillId="0" borderId="1" xfId="0" applyFont="1" applyBorder="1" applyAlignment="1" applyProtection="1">
      <alignment horizontal="left" vertical="center" wrapText="1"/>
      <protection locked="0"/>
    </xf>
    <xf numFmtId="38" fontId="23" fillId="0" borderId="1" xfId="0" applyNumberFormat="1" applyFont="1" applyBorder="1" applyAlignment="1" applyProtection="1">
      <alignment horizontal="right" vertical="center"/>
      <protection locked="0"/>
    </xf>
    <xf numFmtId="0" fontId="23" fillId="0" borderId="1" xfId="0" applyFont="1" applyBorder="1" applyAlignment="1" applyProtection="1">
      <alignment horizontal="left" vertical="top" wrapText="1"/>
      <protection locked="0"/>
    </xf>
    <xf numFmtId="165" fontId="24" fillId="0" borderId="14" xfId="0" applyNumberFormat="1" applyFont="1" applyFill="1" applyBorder="1" applyAlignment="1">
      <alignment horizontal="left" vertical="center"/>
    </xf>
    <xf numFmtId="165" fontId="24" fillId="0" borderId="7" xfId="0" applyNumberFormat="1" applyFont="1" applyFill="1" applyBorder="1" applyAlignment="1">
      <alignment horizontal="left" vertical="center"/>
    </xf>
    <xf numFmtId="165" fontId="32" fillId="6" borderId="7" xfId="0" applyNumberFormat="1" applyFont="1" applyFill="1" applyBorder="1" applyAlignment="1">
      <alignment horizontal="right" vertical="center"/>
    </xf>
    <xf numFmtId="0" fontId="21" fillId="6" borderId="25" xfId="0" applyFont="1" applyFill="1" applyBorder="1" applyAlignment="1">
      <alignment vertical="center"/>
    </xf>
    <xf numFmtId="0" fontId="23" fillId="6" borderId="15" xfId="0" applyFont="1" applyFill="1" applyBorder="1" applyAlignment="1">
      <alignment vertical="center"/>
    </xf>
    <xf numFmtId="165" fontId="23" fillId="0" borderId="48" xfId="0" applyNumberFormat="1" applyFont="1" applyBorder="1" applyAlignment="1">
      <alignment horizontal="left" vertical="center"/>
    </xf>
    <xf numFmtId="0" fontId="23" fillId="0" borderId="4" xfId="0" applyFont="1" applyBorder="1" applyAlignment="1">
      <alignment horizontal="left" vertical="center" indent="1"/>
    </xf>
    <xf numFmtId="165" fontId="23" fillId="0" borderId="7" xfId="0" applyNumberFormat="1" applyFont="1" applyBorder="1" applyAlignment="1">
      <alignment horizontal="left" vertical="center"/>
    </xf>
    <xf numFmtId="0" fontId="23" fillId="0" borderId="25" xfId="0" applyFont="1" applyBorder="1" applyAlignment="1">
      <alignment horizontal="left" vertical="center" wrapText="1" indent="1"/>
    </xf>
    <xf numFmtId="0" fontId="56" fillId="0" borderId="15" xfId="0" applyFont="1" applyBorder="1" applyAlignment="1">
      <alignment horizontal="center" vertical="center"/>
    </xf>
    <xf numFmtId="165" fontId="23" fillId="0" borderId="14" xfId="0" applyNumberFormat="1" applyFont="1" applyBorder="1" applyAlignment="1">
      <alignment horizontal="left" vertical="center"/>
    </xf>
    <xf numFmtId="0" fontId="23" fillId="0" borderId="43" xfId="0" applyFont="1" applyBorder="1" applyAlignment="1">
      <alignment horizontal="left" vertical="center" wrapText="1" indent="1"/>
    </xf>
    <xf numFmtId="165" fontId="32" fillId="6" borderId="14" xfId="0" applyNumberFormat="1" applyFont="1" applyFill="1" applyBorder="1" applyAlignment="1">
      <alignment horizontal="right" vertical="top"/>
    </xf>
    <xf numFmtId="165" fontId="23" fillId="0" borderId="7" xfId="0" applyNumberFormat="1" applyFont="1" applyBorder="1" applyAlignment="1">
      <alignment horizontal="right" vertical="center" readingOrder="1"/>
    </xf>
    <xf numFmtId="0" fontId="23" fillId="0" borderId="25" xfId="0" applyFont="1" applyBorder="1" applyAlignment="1">
      <alignment horizontal="left" vertical="center" indent="1"/>
    </xf>
    <xf numFmtId="165" fontId="24" fillId="0" borderId="0" xfId="0" applyNumberFormat="1" applyFont="1" applyAlignment="1">
      <alignment horizontal="left" vertical="center"/>
    </xf>
    <xf numFmtId="0" fontId="24" fillId="0" borderId="0" xfId="0" applyFont="1" applyBorder="1" applyAlignment="1">
      <alignment horizontal="left" vertical="center" indent="1"/>
    </xf>
    <xf numFmtId="0" fontId="24" fillId="0" borderId="0" xfId="0" applyFont="1" applyBorder="1" applyAlignment="1">
      <alignment vertical="center"/>
    </xf>
    <xf numFmtId="0" fontId="59" fillId="0" borderId="0" xfId="0" applyFont="1" applyAlignment="1">
      <alignment horizontal="left" vertical="center" indent="1"/>
    </xf>
    <xf numFmtId="0" fontId="24" fillId="0" borderId="41" xfId="0" applyFont="1" applyBorder="1"/>
    <xf numFmtId="0" fontId="32" fillId="0" borderId="42" xfId="0" applyFont="1" applyBorder="1"/>
    <xf numFmtId="0" fontId="25" fillId="0" borderId="0" xfId="34" applyFont="1" applyAlignment="1">
      <alignment horizontal="right" vertical="top"/>
    </xf>
    <xf numFmtId="0" fontId="19" fillId="0" borderId="0" xfId="34" applyFont="1" applyAlignment="1">
      <alignment wrapText="1"/>
    </xf>
    <xf numFmtId="0" fontId="19" fillId="0" borderId="0" xfId="34" applyFont="1"/>
    <xf numFmtId="0" fontId="24" fillId="0" borderId="0" xfId="0" applyFont="1" applyAlignment="1">
      <alignment vertical="top"/>
    </xf>
    <xf numFmtId="0" fontId="25" fillId="0" borderId="0" xfId="0" applyFont="1" applyAlignment="1">
      <alignment horizontal="right" vertical="top"/>
    </xf>
    <xf numFmtId="0" fontId="19" fillId="0" borderId="0" xfId="0" applyFont="1" applyAlignment="1">
      <alignment horizontal="left" wrapText="1"/>
    </xf>
    <xf numFmtId="0" fontId="25" fillId="0" borderId="0" xfId="34" applyFont="1" applyBorder="1" applyAlignment="1">
      <alignment horizontal="right" vertical="top"/>
    </xf>
    <xf numFmtId="165" fontId="44" fillId="0" borderId="0" xfId="34" applyNumberFormat="1" applyFont="1" applyAlignment="1">
      <alignment horizontal="right" vertical="top"/>
    </xf>
    <xf numFmtId="0" fontId="24" fillId="0" borderId="0" xfId="0" applyFont="1" applyAlignment="1">
      <alignment horizontal="right"/>
    </xf>
    <xf numFmtId="0" fontId="19" fillId="0" borderId="0" xfId="0" applyFont="1" applyAlignment="1">
      <alignment horizontal="left"/>
    </xf>
    <xf numFmtId="0" fontId="25" fillId="0" borderId="0" xfId="0" applyNumberFormat="1" applyFont="1" applyAlignment="1">
      <alignment horizontal="right" vertical="top"/>
    </xf>
    <xf numFmtId="165" fontId="44" fillId="0" borderId="0" xfId="34" applyNumberFormat="1" applyFont="1" applyAlignment="1">
      <alignment horizontal="right" vertical="center"/>
    </xf>
    <xf numFmtId="0" fontId="44" fillId="0" borderId="0" xfId="34" applyNumberFormat="1" applyFont="1" applyAlignment="1">
      <alignment horizontal="right" vertical="top"/>
    </xf>
    <xf numFmtId="38" fontId="19" fillId="0" borderId="0" xfId="0" applyNumberFormat="1" applyFont="1"/>
    <xf numFmtId="0" fontId="44" fillId="0" borderId="0" xfId="34" applyNumberFormat="1" applyFont="1" applyAlignment="1">
      <alignment horizontal="right" vertical="center"/>
    </xf>
    <xf numFmtId="0" fontId="19" fillId="0" borderId="0" xfId="34" applyFont="1" applyAlignment="1">
      <alignment horizontal="left" vertical="center" wrapText="1"/>
    </xf>
    <xf numFmtId="0" fontId="44" fillId="0" borderId="0" xfId="34" applyNumberFormat="1" applyFont="1" applyAlignment="1">
      <alignment horizontal="right" vertical="top" shrinkToFit="1"/>
    </xf>
    <xf numFmtId="0" fontId="25" fillId="0" borderId="0" xfId="34" applyFont="1" applyAlignment="1">
      <alignment horizontal="right"/>
    </xf>
    <xf numFmtId="0" fontId="19" fillId="0" borderId="0" xfId="34" applyFont="1" applyAlignment="1"/>
    <xf numFmtId="0" fontId="25" fillId="0" borderId="0" xfId="0" applyFont="1" applyAlignment="1"/>
    <xf numFmtId="49" fontId="19" fillId="0" borderId="0" xfId="51" applyNumberFormat="1" applyFont="1" applyAlignment="1">
      <alignment horizontal="left" vertical="center"/>
    </xf>
    <xf numFmtId="49" fontId="25" fillId="0" borderId="0" xfId="51" applyNumberFormat="1" applyFont="1" applyAlignment="1">
      <alignment horizontal="right" vertical="top"/>
    </xf>
    <xf numFmtId="0" fontId="19" fillId="0" borderId="0" xfId="51" applyFont="1" applyAlignment="1">
      <alignment vertical="center" wrapText="1"/>
    </xf>
    <xf numFmtId="0" fontId="19" fillId="0" borderId="0" xfId="51" applyFont="1" applyAlignment="1">
      <alignment horizontal="left" vertical="center" wrapText="1"/>
    </xf>
    <xf numFmtId="49" fontId="25" fillId="0" borderId="0" xfId="51" applyNumberFormat="1" applyFont="1" applyAlignment="1">
      <alignment vertical="top"/>
    </xf>
    <xf numFmtId="0" fontId="19" fillId="0" borderId="0" xfId="51" applyFont="1" applyAlignment="1">
      <alignment vertical="center"/>
    </xf>
    <xf numFmtId="0" fontId="25" fillId="0" borderId="0" xfId="0" applyFont="1" applyAlignment="1">
      <alignment vertical="top"/>
    </xf>
    <xf numFmtId="0" fontId="19" fillId="0" borderId="0" xfId="0" applyFont="1" applyAlignment="1">
      <alignment wrapText="1"/>
    </xf>
    <xf numFmtId="0" fontId="25" fillId="0" borderId="0" xfId="36" applyFont="1" applyAlignment="1">
      <alignment horizontal="right" vertical="top"/>
    </xf>
    <xf numFmtId="0" fontId="19" fillId="0" borderId="0" xfId="36" applyFont="1" applyAlignment="1">
      <alignment vertical="center" wrapText="1"/>
    </xf>
    <xf numFmtId="0" fontId="25" fillId="0" borderId="0" xfId="36" applyFont="1" applyAlignment="1">
      <alignment vertical="center"/>
    </xf>
    <xf numFmtId="0" fontId="19" fillId="0" borderId="0" xfId="36" applyFont="1" applyAlignment="1">
      <alignment vertical="center"/>
    </xf>
    <xf numFmtId="0" fontId="19" fillId="0" borderId="0" xfId="0" applyFont="1" applyAlignment="1">
      <alignment horizontal="left" vertical="top" wrapText="1"/>
    </xf>
    <xf numFmtId="0" fontId="19" fillId="0" borderId="0" xfId="0" applyFont="1" applyAlignment="1"/>
    <xf numFmtId="0" fontId="21" fillId="2" borderId="73" xfId="0" applyFont="1" applyFill="1" applyBorder="1" applyAlignment="1">
      <alignment horizontal="center" vertical="center"/>
    </xf>
    <xf numFmtId="0" fontId="23" fillId="0" borderId="0" xfId="0" applyFont="1" applyAlignment="1">
      <alignment vertical="center"/>
    </xf>
    <xf numFmtId="0" fontId="7" fillId="0" borderId="0" xfId="1" applyAlignment="1" applyProtection="1"/>
    <xf numFmtId="0" fontId="22" fillId="0" borderId="0" xfId="0" applyFont="1" applyProtection="1"/>
    <xf numFmtId="38" fontId="23" fillId="16" borderId="19" xfId="34" applyNumberFormat="1" applyFont="1" applyFill="1" applyBorder="1" applyAlignment="1" applyProtection="1">
      <alignment horizontal="right"/>
    </xf>
    <xf numFmtId="38" fontId="23" fillId="18" borderId="0" xfId="49" applyNumberFormat="1" applyFont="1" applyFill="1" applyBorder="1" applyAlignment="1" applyProtection="1">
      <alignment horizontal="right"/>
    </xf>
    <xf numFmtId="38" fontId="23" fillId="18" borderId="2" xfId="34" applyNumberFormat="1" applyFont="1" applyFill="1" applyBorder="1" applyAlignment="1" applyProtection="1">
      <alignment horizontal="right"/>
    </xf>
    <xf numFmtId="38" fontId="23" fillId="0" borderId="55" xfId="33" applyNumberFormat="1" applyFont="1" applyFill="1" applyBorder="1" applyAlignment="1" applyProtection="1">
      <alignment horizontal="right"/>
      <protection locked="0"/>
    </xf>
    <xf numFmtId="38" fontId="23" fillId="3" borderId="13" xfId="7" applyNumberFormat="1" applyFont="1" applyFill="1" applyBorder="1" applyAlignment="1" applyProtection="1">
      <alignment horizontal="right"/>
    </xf>
    <xf numFmtId="38" fontId="23" fillId="20" borderId="48" xfId="47" applyNumberFormat="1" applyFont="1" applyFill="1" applyBorder="1" applyAlignment="1" applyProtection="1">
      <alignment horizontal="right"/>
    </xf>
    <xf numFmtId="38" fontId="23" fillId="20" borderId="4" xfId="47" applyNumberFormat="1" applyFont="1" applyFill="1" applyBorder="1" applyAlignment="1" applyProtection="1">
      <alignment horizontal="right"/>
    </xf>
    <xf numFmtId="38" fontId="23" fillId="20" borderId="46" xfId="47" applyNumberFormat="1" applyFont="1" applyFill="1" applyBorder="1" applyAlignment="1" applyProtection="1">
      <alignment horizontal="right"/>
    </xf>
    <xf numFmtId="38" fontId="23" fillId="3" borderId="3" xfId="15" applyNumberFormat="1" applyFont="1" applyFill="1" applyBorder="1" applyAlignment="1" applyProtection="1">
      <alignment horizontal="right"/>
    </xf>
    <xf numFmtId="38" fontId="23" fillId="3" borderId="45" xfId="36" applyNumberFormat="1" applyFont="1" applyFill="1" applyBorder="1" applyAlignment="1" applyProtection="1">
      <alignment horizontal="right"/>
    </xf>
    <xf numFmtId="38" fontId="23" fillId="19" borderId="19" xfId="41" applyNumberFormat="1" applyFont="1" applyFill="1" applyBorder="1" applyAlignment="1" applyProtection="1">
      <alignment horizontal="right"/>
    </xf>
    <xf numFmtId="38" fontId="23" fillId="19" borderId="2" xfId="41" applyNumberFormat="1" applyFont="1" applyFill="1" applyBorder="1" applyAlignment="1" applyProtection="1">
      <alignment horizontal="right"/>
    </xf>
    <xf numFmtId="38" fontId="23" fillId="16" borderId="23" xfId="34" applyNumberFormat="1" applyFont="1" applyFill="1" applyBorder="1" applyAlignment="1" applyProtection="1">
      <alignment horizontal="right"/>
    </xf>
    <xf numFmtId="38" fontId="23" fillId="16" borderId="20" xfId="34" applyNumberFormat="1" applyFont="1" applyFill="1" applyBorder="1" applyAlignment="1" applyProtection="1">
      <alignment horizontal="right"/>
    </xf>
    <xf numFmtId="38" fontId="23" fillId="4" borderId="20" xfId="34" applyNumberFormat="1" applyFont="1" applyFill="1" applyBorder="1" applyAlignment="1" applyProtection="1">
      <alignment horizontal="right"/>
    </xf>
    <xf numFmtId="38" fontId="23" fillId="19" borderId="19" xfId="34" applyNumberFormat="1" applyFont="1" applyFill="1" applyBorder="1" applyAlignment="1" applyProtection="1">
      <alignment horizontal="right"/>
    </xf>
    <xf numFmtId="38" fontId="23" fillId="4" borderId="16" xfId="33" applyNumberFormat="1" applyFont="1" applyFill="1" applyBorder="1" applyAlignment="1" applyProtection="1">
      <alignment horizontal="right"/>
    </xf>
    <xf numFmtId="38" fontId="23" fillId="3" borderId="8" xfId="47" applyNumberFormat="1" applyFont="1" applyFill="1" applyBorder="1" applyAlignment="1" applyProtection="1">
      <alignment horizontal="right"/>
    </xf>
    <xf numFmtId="38" fontId="23" fillId="4" borderId="47" xfId="47" applyNumberFormat="1" applyFont="1" applyFill="1" applyBorder="1" applyAlignment="1" applyProtection="1">
      <alignment horizontal="right"/>
    </xf>
    <xf numFmtId="38" fontId="23" fillId="4" borderId="16" xfId="47" applyNumberFormat="1" applyFont="1" applyFill="1" applyBorder="1" applyAlignment="1" applyProtection="1">
      <alignment horizontal="right"/>
    </xf>
    <xf numFmtId="0" fontId="21" fillId="0" borderId="43" xfId="0" applyFont="1" applyFill="1" applyBorder="1" applyAlignment="1">
      <alignment horizontal="left" vertical="center"/>
    </xf>
    <xf numFmtId="0" fontId="21" fillId="0" borderId="28" xfId="34" applyFont="1" applyBorder="1" applyAlignment="1" applyProtection="1">
      <alignment vertical="center" wrapText="1"/>
    </xf>
    <xf numFmtId="38" fontId="23" fillId="21" borderId="23" xfId="33" applyNumberFormat="1" applyFont="1" applyFill="1" applyBorder="1" applyAlignment="1" applyProtection="1">
      <alignment horizontal="right"/>
    </xf>
    <xf numFmtId="38" fontId="23" fillId="21" borderId="23" xfId="34" applyNumberFormat="1" applyFont="1" applyFill="1" applyBorder="1" applyAlignment="1" applyProtection="1">
      <alignment horizontal="right"/>
    </xf>
    <xf numFmtId="38" fontId="23" fillId="0" borderId="7" xfId="7" applyNumberFormat="1" applyFont="1" applyBorder="1" applyAlignment="1" applyProtection="1">
      <alignment horizontal="right"/>
      <protection locked="0"/>
    </xf>
    <xf numFmtId="38" fontId="23" fillId="11" borderId="7" xfId="47" applyNumberFormat="1" applyFont="1" applyFill="1" applyBorder="1" applyAlignment="1" applyProtection="1">
      <alignment horizontal="right"/>
    </xf>
    <xf numFmtId="38" fontId="23" fillId="11" borderId="25" xfId="47" applyNumberFormat="1" applyFont="1" applyFill="1" applyBorder="1" applyAlignment="1" applyProtection="1">
      <alignment horizontal="right"/>
    </xf>
    <xf numFmtId="38" fontId="23" fillId="11" borderId="43" xfId="47" applyNumberFormat="1" applyFont="1" applyFill="1" applyBorder="1" applyAlignment="1" applyProtection="1">
      <alignment horizontal="right"/>
    </xf>
    <xf numFmtId="38" fontId="23" fillId="11" borderId="47" xfId="47" applyNumberFormat="1" applyFont="1" applyFill="1" applyBorder="1" applyAlignment="1" applyProtection="1">
      <alignment horizontal="right"/>
    </xf>
    <xf numFmtId="38" fontId="23" fillId="0" borderId="15" xfId="47" applyNumberFormat="1" applyFont="1" applyBorder="1" applyAlignment="1" applyProtection="1">
      <alignment horizontal="right"/>
      <protection locked="0"/>
    </xf>
    <xf numFmtId="38" fontId="23" fillId="4" borderId="15" xfId="47" applyNumberFormat="1" applyFont="1" applyFill="1" applyBorder="1" applyAlignment="1" applyProtection="1">
      <alignment horizontal="right"/>
    </xf>
    <xf numFmtId="38" fontId="23" fillId="4" borderId="19" xfId="47" applyNumberFormat="1" applyFont="1" applyFill="1" applyBorder="1" applyAlignment="1" applyProtection="1">
      <alignment horizontal="right"/>
    </xf>
    <xf numFmtId="38" fontId="23" fillId="3" borderId="3" xfId="47" applyNumberFormat="1" applyFont="1" applyFill="1" applyBorder="1" applyAlignment="1" applyProtection="1">
      <alignment horizontal="right"/>
    </xf>
    <xf numFmtId="38" fontId="23" fillId="5" borderId="20" xfId="47" applyNumberFormat="1" applyFont="1" applyFill="1" applyBorder="1" applyAlignment="1" applyProtection="1">
      <alignment horizontal="right"/>
      <protection locked="0"/>
    </xf>
    <xf numFmtId="38" fontId="6" fillId="0" borderId="0" xfId="0" applyNumberFormat="1" applyFont="1"/>
    <xf numFmtId="0" fontId="15" fillId="0" borderId="0" xfId="0" applyFont="1" applyFill="1"/>
    <xf numFmtId="38" fontId="24" fillId="0" borderId="1" xfId="52" applyNumberFormat="1" applyFont="1" applyBorder="1" applyAlignment="1" applyProtection="1">
      <alignment vertical="center" shrinkToFit="1"/>
      <protection locked="0"/>
    </xf>
    <xf numFmtId="38" fontId="24" fillId="0" borderId="1" xfId="52" applyNumberFormat="1" applyFont="1" applyFill="1" applyBorder="1" applyAlignment="1" applyProtection="1">
      <alignment vertical="center" shrinkToFit="1"/>
      <protection locked="0"/>
    </xf>
    <xf numFmtId="165" fontId="32" fillId="6" borderId="14" xfId="0" applyNumberFormat="1" applyFont="1" applyFill="1" applyBorder="1" applyAlignment="1">
      <alignment horizontal="right" vertical="center"/>
    </xf>
    <xf numFmtId="38" fontId="23" fillId="19" borderId="15" xfId="33" applyNumberFormat="1" applyFont="1" applyFill="1" applyBorder="1" applyAlignment="1" applyProtection="1">
      <alignment horizontal="right"/>
    </xf>
    <xf numFmtId="0" fontId="0" fillId="0" borderId="0" xfId="0" applyFill="1" applyBorder="1"/>
    <xf numFmtId="0" fontId="70" fillId="0" borderId="0" xfId="0" applyFont="1" applyAlignment="1">
      <alignment horizontal="center" wrapText="1"/>
    </xf>
    <xf numFmtId="0" fontId="69" fillId="23" borderId="115" xfId="0" applyFont="1" applyFill="1" applyBorder="1" applyAlignment="1">
      <alignment horizontal="center" wrapText="1"/>
    </xf>
    <xf numFmtId="0" fontId="31" fillId="0" borderId="0" xfId="0" applyFont="1" applyAlignment="1">
      <alignment horizontal="center" wrapText="1"/>
    </xf>
    <xf numFmtId="0" fontId="72" fillId="0" borderId="0" xfId="0" applyFont="1" applyProtection="1"/>
    <xf numFmtId="0" fontId="71" fillId="0" borderId="0" xfId="0" applyFont="1" applyAlignment="1" applyProtection="1">
      <alignment horizontal="left" vertical="center"/>
    </xf>
    <xf numFmtId="0" fontId="73" fillId="0" borderId="0" xfId="0" applyFont="1" applyBorder="1" applyAlignment="1" applyProtection="1">
      <alignment horizontal="left" indent="1"/>
    </xf>
    <xf numFmtId="0" fontId="72" fillId="0" borderId="0" xfId="0" applyFont="1" applyBorder="1" applyProtection="1"/>
    <xf numFmtId="49" fontId="0" fillId="0" borderId="0" xfId="0" applyNumberFormat="1"/>
    <xf numFmtId="49" fontId="70" fillId="0" borderId="0" xfId="0" applyNumberFormat="1" applyFont="1" applyAlignment="1">
      <alignment horizontal="center" wrapText="1"/>
    </xf>
    <xf numFmtId="49" fontId="3" fillId="0" borderId="0" xfId="0" applyNumberFormat="1" applyFont="1" applyBorder="1"/>
    <xf numFmtId="0" fontId="0" fillId="0" borderId="0" xfId="0" applyAlignment="1">
      <alignment horizontal="left"/>
    </xf>
    <xf numFmtId="0" fontId="75" fillId="0" borderId="76" xfId="0" applyFont="1" applyFill="1" applyBorder="1" applyAlignment="1" applyProtection="1">
      <alignment horizontal="left" vertical="center" indent="1"/>
    </xf>
    <xf numFmtId="0" fontId="73" fillId="0" borderId="0" xfId="0" applyFont="1" applyAlignment="1">
      <alignment vertical="center"/>
    </xf>
    <xf numFmtId="0" fontId="72" fillId="0" borderId="0" xfId="0" applyFont="1" applyAlignment="1">
      <alignment vertical="center"/>
    </xf>
    <xf numFmtId="0" fontId="56" fillId="0" borderId="15" xfId="0" applyFont="1" applyBorder="1" applyAlignment="1">
      <alignment horizontal="center" vertical="center" wrapText="1"/>
    </xf>
    <xf numFmtId="0" fontId="32" fillId="0" borderId="43" xfId="0" applyFont="1" applyFill="1" applyBorder="1" applyAlignment="1">
      <alignment horizontal="left" vertical="center"/>
    </xf>
    <xf numFmtId="0" fontId="76" fillId="0" borderId="3" xfId="0" applyFont="1" applyFill="1" applyBorder="1" applyAlignment="1">
      <alignment horizontal="center" vertical="center" wrapText="1"/>
    </xf>
    <xf numFmtId="0" fontId="69" fillId="23" borderId="0" xfId="0" applyFont="1" applyFill="1" applyBorder="1" applyAlignment="1">
      <alignment horizontal="center" wrapText="1"/>
    </xf>
    <xf numFmtId="38" fontId="23" fillId="4" borderId="23" xfId="29" applyNumberFormat="1" applyFont="1" applyFill="1" applyBorder="1" applyAlignment="1" applyProtection="1">
      <alignment horizontal="right"/>
    </xf>
    <xf numFmtId="38" fontId="23" fillId="0" borderId="3" xfId="24" applyNumberFormat="1" applyFont="1" applyFill="1" applyBorder="1" applyAlignment="1" applyProtection="1">
      <alignment horizontal="right"/>
      <protection locked="0"/>
    </xf>
    <xf numFmtId="38" fontId="23" fillId="0" borderId="20" xfId="29" applyNumberFormat="1" applyFont="1" applyFill="1" applyBorder="1" applyAlignment="1" applyProtection="1">
      <alignment horizontal="right"/>
      <protection locked="0"/>
    </xf>
    <xf numFmtId="0" fontId="19" fillId="0" borderId="0" xfId="0" applyFont="1" applyAlignment="1" applyProtection="1">
      <alignment horizontal="left"/>
    </xf>
    <xf numFmtId="49" fontId="19" fillId="0" borderId="0" xfId="0" applyNumberFormat="1" applyFont="1" applyProtection="1"/>
    <xf numFmtId="0" fontId="77" fillId="0" borderId="0" xfId="0" applyFont="1" applyAlignment="1">
      <alignment horizontal="center"/>
    </xf>
    <xf numFmtId="0" fontId="79" fillId="0" borderId="0" xfId="0" applyFont="1"/>
    <xf numFmtId="0" fontId="78" fillId="0" borderId="0" xfId="0" applyFont="1" applyAlignment="1">
      <alignment horizontal="center"/>
    </xf>
    <xf numFmtId="49" fontId="33" fillId="0" borderId="0" xfId="0" applyNumberFormat="1" applyFont="1" applyAlignment="1" applyProtection="1">
      <alignment vertical="center"/>
    </xf>
    <xf numFmtId="0" fontId="31" fillId="0" borderId="0" xfId="0" applyNumberFormat="1" applyFont="1" applyAlignment="1" applyProtection="1">
      <alignment vertical="center"/>
    </xf>
    <xf numFmtId="38" fontId="38" fillId="0" borderId="0" xfId="0" applyNumberFormat="1" applyFont="1" applyBorder="1" applyAlignment="1" applyProtection="1">
      <alignment horizontal="center" vertical="center" wrapText="1"/>
    </xf>
    <xf numFmtId="38" fontId="23" fillId="4" borderId="2" xfId="42" applyNumberFormat="1" applyFont="1" applyFill="1" applyBorder="1" applyAlignment="1" applyProtection="1">
      <alignment horizontal="right"/>
    </xf>
    <xf numFmtId="0" fontId="80" fillId="0" borderId="0" xfId="0" applyFont="1" applyProtection="1"/>
    <xf numFmtId="38" fontId="23" fillId="10" borderId="4" xfId="34" applyNumberFormat="1" applyFont="1" applyFill="1" applyBorder="1" applyAlignment="1" applyProtection="1">
      <alignment horizontal="right"/>
    </xf>
    <xf numFmtId="38" fontId="23" fillId="10" borderId="46" xfId="34" applyNumberFormat="1" applyFont="1" applyFill="1" applyBorder="1" applyAlignment="1" applyProtection="1">
      <alignment horizontal="right"/>
    </xf>
    <xf numFmtId="38" fontId="23" fillId="3" borderId="15" xfId="36" applyNumberFormat="1" applyFont="1" applyFill="1" applyBorder="1" applyAlignment="1" applyProtection="1">
      <alignment horizontal="right"/>
    </xf>
    <xf numFmtId="38" fontId="23" fillId="3" borderId="25" xfId="36" applyNumberFormat="1" applyFont="1" applyFill="1" applyBorder="1" applyAlignment="1" applyProtection="1">
      <alignment horizontal="right"/>
    </xf>
    <xf numFmtId="38" fontId="23" fillId="3" borderId="10" xfId="30" applyNumberFormat="1" applyFont="1" applyFill="1" applyBorder="1" applyAlignment="1" applyProtection="1">
      <alignment horizontal="right"/>
    </xf>
    <xf numFmtId="38" fontId="23" fillId="0" borderId="9" xfId="29" applyNumberFormat="1" applyFont="1" applyBorder="1" applyAlignment="1" applyProtection="1">
      <alignment horizontal="right"/>
      <protection locked="0"/>
    </xf>
    <xf numFmtId="38" fontId="23" fillId="0" borderId="20" xfId="29" applyNumberFormat="1" applyFont="1" applyBorder="1" applyAlignment="1" applyProtection="1">
      <alignment horizontal="right"/>
      <protection locked="0"/>
    </xf>
    <xf numFmtId="0" fontId="37" fillId="0" borderId="0" xfId="0" applyNumberFormat="1" applyFont="1" applyAlignment="1">
      <alignment horizontal="left"/>
    </xf>
    <xf numFmtId="0" fontId="6" fillId="0" borderId="0" xfId="0" applyNumberFormat="1" applyFont="1" applyAlignment="1">
      <alignment horizontal="left"/>
    </xf>
    <xf numFmtId="173" fontId="6" fillId="0" borderId="0" xfId="0" applyNumberFormat="1" applyFont="1"/>
    <xf numFmtId="38" fontId="38" fillId="0" borderId="0" xfId="0" applyNumberFormat="1" applyFont="1" applyBorder="1" applyAlignment="1" applyProtection="1">
      <alignment horizontal="left" vertical="center"/>
    </xf>
    <xf numFmtId="0" fontId="38" fillId="0" borderId="0" xfId="0" applyNumberFormat="1" applyFont="1" applyBorder="1" applyAlignment="1" applyProtection="1">
      <alignment horizontal="left" vertical="center"/>
    </xf>
    <xf numFmtId="0" fontId="39" fillId="0" borderId="0" xfId="0" applyFont="1" applyProtection="1"/>
    <xf numFmtId="0" fontId="23" fillId="0" borderId="0" xfId="0" applyFont="1" applyAlignment="1" applyProtection="1"/>
    <xf numFmtId="0" fontId="48" fillId="0" borderId="0" xfId="0" applyFont="1" applyAlignment="1" applyProtection="1"/>
    <xf numFmtId="49" fontId="19" fillId="0" borderId="0" xfId="0" applyNumberFormat="1" applyFont="1" applyAlignment="1" applyProtection="1">
      <alignment horizontal="left"/>
    </xf>
    <xf numFmtId="0" fontId="39" fillId="0" borderId="0" xfId="0" applyFont="1" applyAlignment="1" applyProtection="1">
      <alignment horizontal="left"/>
    </xf>
    <xf numFmtId="49" fontId="3" fillId="0" borderId="0" xfId="0" applyNumberFormat="1" applyFont="1"/>
    <xf numFmtId="0" fontId="85" fillId="0" borderId="3" xfId="0" applyFont="1" applyFill="1" applyBorder="1" applyAlignment="1">
      <alignment horizontal="center" vertical="center" wrapText="1"/>
    </xf>
    <xf numFmtId="165" fontId="23" fillId="2" borderId="24" xfId="0" applyNumberFormat="1" applyFont="1" applyFill="1" applyBorder="1" applyAlignment="1">
      <alignment horizontal="left" vertical="center"/>
    </xf>
    <xf numFmtId="0" fontId="21" fillId="2" borderId="10" xfId="0" applyFont="1" applyFill="1" applyBorder="1" applyAlignment="1">
      <alignment horizontal="center" vertical="center"/>
    </xf>
    <xf numFmtId="49" fontId="21" fillId="10" borderId="7" xfId="49" applyNumberFormat="1" applyFont="1" applyFill="1" applyBorder="1" applyAlignment="1" applyProtection="1">
      <alignment horizontal="left" vertical="center"/>
    </xf>
    <xf numFmtId="0" fontId="23" fillId="10" borderId="25" xfId="33" applyFont="1" applyFill="1" applyBorder="1" applyAlignment="1" applyProtection="1">
      <alignment vertical="top"/>
    </xf>
    <xf numFmtId="0" fontId="20" fillId="0" borderId="0" xfId="33" applyFont="1" applyAlignment="1" applyProtection="1">
      <alignment vertical="top"/>
    </xf>
    <xf numFmtId="49" fontId="22" fillId="17" borderId="28" xfId="49" applyNumberFormat="1" applyFont="1" applyFill="1" applyBorder="1" applyAlignment="1" applyProtection="1">
      <alignment horizontal="left" vertical="center" indent="2"/>
    </xf>
    <xf numFmtId="0" fontId="19" fillId="17" borderId="19" xfId="34" applyFont="1" applyFill="1" applyBorder="1" applyAlignment="1" applyProtection="1">
      <alignment horizontal="center" vertical="top"/>
    </xf>
    <xf numFmtId="0" fontId="20" fillId="0" borderId="0" xfId="34" applyFont="1" applyAlignment="1" applyProtection="1">
      <alignment vertical="top" wrapText="1"/>
    </xf>
    <xf numFmtId="49" fontId="21" fillId="10" borderId="21" xfId="49" applyNumberFormat="1" applyFont="1" applyFill="1" applyBorder="1" applyAlignment="1" applyProtection="1">
      <alignment horizontal="left" vertical="center"/>
    </xf>
    <xf numFmtId="49" fontId="23" fillId="10" borderId="67" xfId="49" applyNumberFormat="1" applyFont="1" applyFill="1" applyBorder="1" applyAlignment="1" applyProtection="1">
      <alignment horizontal="center" vertical="center"/>
    </xf>
    <xf numFmtId="0" fontId="20" fillId="0" borderId="0" xfId="34" applyFont="1" applyProtection="1"/>
    <xf numFmtId="0" fontId="19" fillId="17" borderId="19" xfId="49" applyFont="1" applyFill="1" applyBorder="1" applyAlignment="1" applyProtection="1"/>
    <xf numFmtId="49" fontId="22" fillId="0" borderId="22" xfId="49" applyNumberFormat="1" applyFont="1" applyBorder="1" applyAlignment="1" applyProtection="1">
      <alignment horizontal="left" vertical="center" wrapText="1" indent="2"/>
    </xf>
    <xf numFmtId="0" fontId="24" fillId="0" borderId="11" xfId="0" applyFont="1" applyBorder="1" applyAlignment="1" applyProtection="1"/>
    <xf numFmtId="0" fontId="22" fillId="4" borderId="24" xfId="34" applyFont="1" applyFill="1" applyBorder="1" applyAlignment="1" applyProtection="1">
      <alignment horizontal="left" vertical="center" wrapText="1"/>
    </xf>
    <xf numFmtId="0" fontId="19" fillId="4" borderId="63" xfId="0" applyFont="1" applyFill="1" applyBorder="1" applyAlignment="1" applyProtection="1">
      <alignment horizontal="left" vertical="top"/>
    </xf>
    <xf numFmtId="0" fontId="22" fillId="18" borderId="12" xfId="34" applyFont="1" applyFill="1" applyBorder="1" applyAlignment="1" applyProtection="1">
      <alignment horizontal="left" vertical="top" wrapText="1"/>
    </xf>
    <xf numFmtId="0" fontId="19" fillId="18" borderId="13" xfId="0" applyFont="1" applyFill="1" applyBorder="1" applyAlignment="1" applyProtection="1">
      <alignment horizontal="left" vertical="top"/>
    </xf>
    <xf numFmtId="38" fontId="23" fillId="18" borderId="8" xfId="0" applyNumberFormat="1" applyFont="1" applyFill="1" applyBorder="1" applyAlignment="1" applyProtection="1">
      <alignment horizontal="right"/>
    </xf>
    <xf numFmtId="0" fontId="21" fillId="19" borderId="48" xfId="33" applyNumberFormat="1" applyFont="1" applyFill="1" applyBorder="1" applyAlignment="1" applyProtection="1">
      <alignment horizontal="left" vertical="center" wrapText="1"/>
    </xf>
    <xf numFmtId="0" fontId="24" fillId="19" borderId="46" xfId="0" applyNumberFormat="1" applyFont="1" applyFill="1" applyBorder="1" applyAlignment="1" applyProtection="1">
      <alignment vertical="center"/>
    </xf>
    <xf numFmtId="38" fontId="23" fillId="19" borderId="2" xfId="33" applyNumberFormat="1" applyFont="1" applyFill="1" applyBorder="1" applyAlignment="1" applyProtection="1">
      <alignment horizontal="right"/>
    </xf>
    <xf numFmtId="0" fontId="20" fillId="0" borderId="0" xfId="33" applyFont="1" applyProtection="1"/>
    <xf numFmtId="49" fontId="21" fillId="7" borderId="7" xfId="0" applyNumberFormat="1" applyFont="1" applyFill="1" applyBorder="1" applyAlignment="1" applyProtection="1">
      <alignment horizontal="left" vertical="center"/>
    </xf>
    <xf numFmtId="0" fontId="21" fillId="7" borderId="15" xfId="33" applyFont="1" applyFill="1" applyBorder="1" applyAlignment="1" applyProtection="1">
      <alignment horizontal="center"/>
    </xf>
    <xf numFmtId="49" fontId="21" fillId="7" borderId="7" xfId="49" applyNumberFormat="1" applyFont="1" applyFill="1" applyBorder="1" applyAlignment="1" applyProtection="1">
      <alignment horizontal="left" vertical="center" wrapText="1"/>
    </xf>
    <xf numFmtId="0" fontId="21" fillId="7" borderId="15" xfId="33" applyFont="1" applyFill="1" applyBorder="1" applyAlignment="1" applyProtection="1">
      <alignment horizontal="center" vertical="top"/>
    </xf>
    <xf numFmtId="49" fontId="21" fillId="7" borderId="7" xfId="49" applyNumberFormat="1" applyFont="1" applyFill="1" applyBorder="1" applyAlignment="1" applyProtection="1">
      <alignment horizontal="left" vertical="center"/>
    </xf>
    <xf numFmtId="0" fontId="21" fillId="7" borderId="15" xfId="34" applyFont="1" applyFill="1" applyBorder="1" applyAlignment="1" applyProtection="1">
      <alignment horizontal="center" vertical="top"/>
    </xf>
    <xf numFmtId="49" fontId="22" fillId="4" borderId="28" xfId="49" applyNumberFormat="1" applyFont="1" applyFill="1" applyBorder="1" applyAlignment="1" applyProtection="1">
      <alignment horizontal="left" vertical="center" indent="2"/>
    </xf>
    <xf numFmtId="0" fontId="19" fillId="4" borderId="50" xfId="34" applyFont="1" applyFill="1" applyBorder="1" applyAlignment="1" applyProtection="1">
      <alignment horizontal="center" vertical="top"/>
    </xf>
    <xf numFmtId="49" fontId="19" fillId="0" borderId="14" xfId="49" applyNumberFormat="1" applyFont="1" applyBorder="1" applyAlignment="1" applyProtection="1">
      <alignment horizontal="left" vertical="center" indent="2"/>
    </xf>
    <xf numFmtId="0" fontId="19" fillId="0" borderId="3" xfId="34" applyFont="1" applyBorder="1" applyAlignment="1" applyProtection="1">
      <alignment horizontal="center" vertical="center"/>
    </xf>
    <xf numFmtId="38" fontId="23" fillId="19" borderId="10" xfId="34" applyNumberFormat="1" applyFont="1" applyFill="1" applyBorder="1" applyAlignment="1" applyProtection="1">
      <alignment horizontal="right"/>
    </xf>
    <xf numFmtId="0" fontId="19" fillId="4" borderId="50" xfId="34" applyFont="1" applyFill="1" applyBorder="1" applyAlignment="1" applyProtection="1">
      <alignment horizontal="left" vertical="center"/>
    </xf>
    <xf numFmtId="0" fontId="21" fillId="7" borderId="14" xfId="0" applyFont="1" applyFill="1" applyBorder="1" applyAlignment="1" applyProtection="1">
      <alignment horizontal="left" vertical="center"/>
    </xf>
    <xf numFmtId="49" fontId="21" fillId="7" borderId="3" xfId="0" applyNumberFormat="1" applyFont="1" applyFill="1" applyBorder="1" applyAlignment="1" applyProtection="1">
      <alignment horizontal="center" vertical="center"/>
    </xf>
    <xf numFmtId="49" fontId="21" fillId="7" borderId="15" xfId="49" applyNumberFormat="1" applyFont="1" applyFill="1" applyBorder="1" applyAlignment="1" applyProtection="1">
      <alignment horizontal="center" vertical="center"/>
    </xf>
    <xf numFmtId="0" fontId="21" fillId="7" borderId="15" xfId="0" applyFont="1" applyFill="1" applyBorder="1" applyAlignment="1" applyProtection="1">
      <alignment horizontal="center" vertical="center"/>
    </xf>
    <xf numFmtId="0" fontId="19" fillId="4" borderId="50" xfId="49" applyFont="1" applyFill="1" applyBorder="1" applyAlignment="1" applyProtection="1"/>
    <xf numFmtId="49" fontId="19" fillId="0" borderId="14" xfId="49" applyNumberFormat="1" applyFont="1" applyBorder="1" applyAlignment="1" applyProtection="1">
      <alignment horizontal="left" vertical="top" wrapText="1" indent="2"/>
    </xf>
    <xf numFmtId="0" fontId="19" fillId="0" borderId="3" xfId="0" applyFont="1" applyBorder="1" applyAlignment="1" applyProtection="1">
      <alignment horizontal="center"/>
    </xf>
    <xf numFmtId="0" fontId="19" fillId="4" borderId="50" xfId="0" applyFont="1" applyFill="1" applyBorder="1" applyAlignment="1" applyProtection="1">
      <alignment horizontal="left"/>
    </xf>
    <xf numFmtId="0" fontId="21" fillId="10" borderId="7" xfId="34" applyFont="1" applyFill="1" applyBorder="1" applyAlignment="1" applyProtection="1">
      <alignment horizontal="left" vertical="center"/>
    </xf>
    <xf numFmtId="0" fontId="23" fillId="10" borderId="25" xfId="34" applyFont="1" applyFill="1" applyBorder="1" applyAlignment="1" applyProtection="1">
      <alignment horizontal="center" vertical="center"/>
    </xf>
    <xf numFmtId="0" fontId="24" fillId="0" borderId="0" xfId="34" applyFont="1" applyProtection="1"/>
    <xf numFmtId="0" fontId="21" fillId="7" borderId="14" xfId="51" applyFont="1" applyFill="1" applyBorder="1" applyAlignment="1" applyProtection="1">
      <alignment horizontal="left" vertical="center"/>
    </xf>
    <xf numFmtId="49" fontId="21" fillId="7" borderId="47" xfId="49" applyNumberFormat="1" applyFont="1" applyFill="1" applyBorder="1" applyAlignment="1" applyProtection="1">
      <alignment horizontal="center" vertical="center"/>
    </xf>
    <xf numFmtId="0" fontId="22" fillId="4" borderId="28" xfId="0" applyFont="1" applyFill="1" applyBorder="1" applyAlignment="1" applyProtection="1">
      <alignment horizontal="left" vertical="top" wrapText="1" indent="2"/>
    </xf>
    <xf numFmtId="0" fontId="24" fillId="4" borderId="50" xfId="0" applyFont="1" applyFill="1" applyBorder="1" applyAlignment="1" applyProtection="1">
      <alignment horizontal="center"/>
    </xf>
    <xf numFmtId="165" fontId="21" fillId="7" borderId="14" xfId="0" applyNumberFormat="1" applyFont="1" applyFill="1" applyBorder="1" applyAlignment="1" applyProtection="1">
      <alignment horizontal="left" vertical="center"/>
    </xf>
    <xf numFmtId="49" fontId="21" fillId="7" borderId="47" xfId="0" applyNumberFormat="1" applyFont="1" applyFill="1" applyBorder="1" applyAlignment="1" applyProtection="1">
      <alignment horizontal="center" vertical="center"/>
    </xf>
    <xf numFmtId="165" fontId="22" fillId="0" borderId="14" xfId="0" applyNumberFormat="1" applyFont="1" applyFill="1" applyBorder="1" applyAlignment="1" applyProtection="1">
      <alignment horizontal="left" vertical="center"/>
    </xf>
    <xf numFmtId="49" fontId="21" fillId="0" borderId="47" xfId="0" applyNumberFormat="1" applyFont="1" applyFill="1" applyBorder="1" applyAlignment="1" applyProtection="1">
      <alignment horizontal="left" vertical="center"/>
    </xf>
    <xf numFmtId="49" fontId="22" fillId="4" borderId="28" xfId="36" applyNumberFormat="1" applyFont="1" applyFill="1" applyBorder="1" applyAlignment="1" applyProtection="1">
      <alignment horizontal="left" vertical="center" wrapText="1" indent="2"/>
    </xf>
    <xf numFmtId="0" fontId="24" fillId="4" borderId="50" xfId="0" applyFont="1" applyFill="1" applyBorder="1" applyAlignment="1" applyProtection="1">
      <alignment horizontal="left" vertical="center"/>
    </xf>
    <xf numFmtId="0" fontId="22" fillId="4" borderId="24" xfId="0" applyFont="1" applyFill="1" applyBorder="1" applyAlignment="1" applyProtection="1">
      <alignment horizontal="left" vertical="center" indent="2"/>
    </xf>
    <xf numFmtId="0" fontId="24" fillId="4" borderId="63" xfId="0" applyFont="1" applyFill="1" applyBorder="1" applyAlignment="1" applyProtection="1">
      <alignment horizontal="left" vertical="center"/>
    </xf>
    <xf numFmtId="0" fontId="22" fillId="4" borderId="22" xfId="34" applyFont="1" applyFill="1" applyBorder="1" applyAlignment="1" applyProtection="1">
      <alignment horizontal="left" vertical="top" wrapText="1"/>
    </xf>
    <xf numFmtId="0" fontId="19" fillId="4" borderId="11" xfId="0" applyFont="1" applyFill="1" applyBorder="1" applyAlignment="1" applyProtection="1">
      <alignment horizontal="left" vertical="top"/>
    </xf>
    <xf numFmtId="38" fontId="23" fillId="4" borderId="8" xfId="0" applyNumberFormat="1" applyFont="1" applyFill="1" applyBorder="1" applyAlignment="1" applyProtection="1">
      <alignment horizontal="right"/>
    </xf>
    <xf numFmtId="0" fontId="21" fillId="18" borderId="0" xfId="51" applyFont="1" applyFill="1" applyBorder="1" applyAlignment="1" applyProtection="1">
      <alignment horizontal="left" vertical="center"/>
    </xf>
    <xf numFmtId="49" fontId="21" fillId="18" borderId="0" xfId="49" applyNumberFormat="1" applyFont="1" applyFill="1" applyBorder="1" applyAlignment="1" applyProtection="1">
      <alignment horizontal="center" vertical="center"/>
    </xf>
    <xf numFmtId="0" fontId="20" fillId="18" borderId="0" xfId="34" applyFont="1" applyFill="1" applyProtection="1"/>
    <xf numFmtId="0" fontId="23" fillId="0" borderId="0" xfId="0" applyFont="1" applyBorder="1" applyAlignment="1" applyProtection="1">
      <alignment horizontal="centerContinuous" vertical="center"/>
    </xf>
    <xf numFmtId="3" fontId="20" fillId="0" borderId="0" xfId="34" applyNumberFormat="1" applyFont="1" applyProtection="1"/>
    <xf numFmtId="0" fontId="21" fillId="0" borderId="54" xfId="0" applyFont="1" applyFill="1" applyBorder="1" applyAlignment="1" applyProtection="1">
      <alignment horizontal="center" vertical="center"/>
    </xf>
    <xf numFmtId="0" fontId="32" fillId="0" borderId="70" xfId="0" applyFont="1" applyBorder="1" applyAlignment="1" applyProtection="1">
      <alignment horizontal="center" vertical="top" wrapText="1"/>
    </xf>
    <xf numFmtId="49" fontId="21" fillId="10" borderId="14" xfId="0" applyNumberFormat="1" applyFont="1" applyFill="1" applyBorder="1" applyAlignment="1" applyProtection="1">
      <alignment horizontal="left" vertical="center"/>
    </xf>
    <xf numFmtId="49" fontId="32" fillId="10" borderId="71" xfId="0" applyNumberFormat="1" applyFont="1" applyFill="1" applyBorder="1" applyAlignment="1" applyProtection="1">
      <alignment horizontal="center" vertical="center"/>
    </xf>
    <xf numFmtId="49" fontId="24" fillId="3" borderId="3" xfId="0" applyNumberFormat="1" applyFont="1" applyFill="1" applyBorder="1" applyProtection="1"/>
    <xf numFmtId="49" fontId="24" fillId="3" borderId="8" xfId="0" applyNumberFormat="1" applyFont="1" applyFill="1" applyBorder="1" applyProtection="1"/>
    <xf numFmtId="0" fontId="19" fillId="4" borderId="15" xfId="0" applyFont="1" applyFill="1" applyBorder="1" applyAlignment="1" applyProtection="1">
      <alignment horizontal="left" vertical="center" indent="1"/>
    </xf>
    <xf numFmtId="0" fontId="19" fillId="4" borderId="15" xfId="0" applyFont="1" applyFill="1" applyBorder="1" applyAlignment="1" applyProtection="1">
      <alignment horizontal="center" vertical="center"/>
    </xf>
    <xf numFmtId="0" fontId="23" fillId="3" borderId="8" xfId="0" applyFont="1" applyFill="1" applyBorder="1" applyAlignment="1" applyProtection="1">
      <alignment vertical="center"/>
    </xf>
    <xf numFmtId="0" fontId="23" fillId="3" borderId="3" xfId="0" applyFont="1" applyFill="1" applyBorder="1" applyAlignment="1" applyProtection="1">
      <alignment vertical="center"/>
    </xf>
    <xf numFmtId="38" fontId="19" fillId="4" borderId="15" xfId="34" applyNumberFormat="1" applyFont="1" applyFill="1" applyBorder="1" applyAlignment="1" applyProtection="1">
      <alignment vertical="center"/>
    </xf>
    <xf numFmtId="0" fontId="23" fillId="3" borderId="2" xfId="0" applyFont="1" applyFill="1" applyBorder="1" applyAlignment="1" applyProtection="1">
      <alignment vertical="center"/>
    </xf>
    <xf numFmtId="38" fontId="23" fillId="3" borderId="2" xfId="0" applyNumberFormat="1" applyFont="1" applyFill="1" applyBorder="1" applyAlignment="1" applyProtection="1">
      <alignment vertical="center"/>
    </xf>
    <xf numFmtId="38" fontId="23" fillId="3" borderId="15" xfId="0" applyNumberFormat="1" applyFont="1" applyFill="1" applyBorder="1" applyAlignment="1" applyProtection="1">
      <alignment vertical="center"/>
    </xf>
    <xf numFmtId="0" fontId="22" fillId="4" borderId="28" xfId="0" applyFont="1" applyFill="1" applyBorder="1" applyAlignment="1" applyProtection="1">
      <alignment horizontal="left" vertical="center" indent="2"/>
    </xf>
    <xf numFmtId="0" fontId="19" fillId="4" borderId="50" xfId="0" applyFont="1" applyFill="1" applyBorder="1" applyAlignment="1" applyProtection="1">
      <alignment horizontal="center" vertical="center"/>
    </xf>
    <xf numFmtId="0" fontId="23" fillId="3" borderId="23" xfId="0" applyFont="1" applyFill="1" applyBorder="1" applyAlignment="1" applyProtection="1">
      <alignment vertical="center"/>
    </xf>
    <xf numFmtId="38" fontId="19" fillId="4" borderId="19" xfId="34" applyNumberFormat="1" applyFont="1" applyFill="1" applyBorder="1" applyAlignment="1" applyProtection="1">
      <alignment vertical="center"/>
    </xf>
    <xf numFmtId="0" fontId="20" fillId="0" borderId="0" xfId="34" applyFont="1" applyAlignment="1" applyProtection="1"/>
    <xf numFmtId="0" fontId="21" fillId="0" borderId="48" xfId="33" applyNumberFormat="1" applyFont="1" applyFill="1" applyBorder="1" applyAlignment="1" applyProtection="1">
      <alignment horizontal="left" vertical="center" wrapText="1"/>
    </xf>
    <xf numFmtId="0" fontId="24" fillId="0" borderId="46" xfId="0" applyNumberFormat="1" applyFont="1" applyBorder="1" applyAlignment="1" applyProtection="1">
      <alignment vertical="center"/>
    </xf>
    <xf numFmtId="0" fontId="22" fillId="4" borderId="24" xfId="34" applyFont="1" applyFill="1" applyBorder="1" applyAlignment="1" applyProtection="1">
      <alignment horizontal="left" vertical="top" wrapText="1"/>
    </xf>
    <xf numFmtId="49" fontId="19" fillId="0" borderId="15" xfId="0" applyNumberFormat="1" applyFont="1" applyBorder="1" applyAlignment="1" applyProtection="1">
      <alignment horizontal="center" vertical="top"/>
    </xf>
    <xf numFmtId="49" fontId="19" fillId="0" borderId="15" xfId="0" applyNumberFormat="1" applyFont="1" applyBorder="1" applyAlignment="1" applyProtection="1">
      <alignment horizontal="left" vertical="top" wrapText="1" indent="1"/>
    </xf>
    <xf numFmtId="49" fontId="19" fillId="0" borderId="15" xfId="0" applyNumberFormat="1" applyFont="1" applyBorder="1" applyAlignment="1" applyProtection="1">
      <alignment horizontal="left" vertical="center" indent="1"/>
    </xf>
    <xf numFmtId="49" fontId="19" fillId="0" borderId="15" xfId="0" applyNumberFormat="1" applyFont="1" applyBorder="1" applyAlignment="1" applyProtection="1">
      <alignment horizontal="center" vertical="center"/>
    </xf>
    <xf numFmtId="49" fontId="19" fillId="0" borderId="15" xfId="0" applyNumberFormat="1" applyFont="1" applyBorder="1" applyAlignment="1" applyProtection="1">
      <alignment horizontal="center"/>
    </xf>
    <xf numFmtId="165" fontId="21" fillId="3" borderId="7" xfId="0" applyNumberFormat="1" applyFont="1" applyFill="1" applyBorder="1" applyAlignment="1" applyProtection="1">
      <alignment horizontal="left" vertical="center"/>
    </xf>
    <xf numFmtId="49" fontId="22" fillId="3" borderId="16" xfId="0" applyNumberFormat="1" applyFont="1" applyFill="1" applyBorder="1" applyAlignment="1" applyProtection="1">
      <alignment horizontal="center" vertical="center"/>
    </xf>
    <xf numFmtId="0" fontId="19" fillId="0" borderId="7" xfId="33" applyFont="1" applyFill="1" applyBorder="1" applyAlignment="1" applyProtection="1">
      <alignment horizontal="left" vertical="center" indent="1"/>
    </xf>
    <xf numFmtId="49" fontId="19" fillId="0" borderId="15" xfId="0" applyNumberFormat="1" applyFont="1" applyFill="1" applyBorder="1" applyAlignment="1" applyProtection="1">
      <alignment horizontal="center" vertical="center"/>
    </xf>
    <xf numFmtId="0" fontId="19" fillId="0" borderId="7" xfId="33" applyFont="1" applyFill="1" applyBorder="1" applyAlignment="1" applyProtection="1">
      <alignment horizontal="left" vertical="center" wrapText="1" indent="1"/>
    </xf>
    <xf numFmtId="49" fontId="19" fillId="0" borderId="15" xfId="0" applyNumberFormat="1" applyFont="1" applyFill="1" applyBorder="1" applyAlignment="1" applyProtection="1">
      <alignment horizontal="center" vertical="top"/>
    </xf>
    <xf numFmtId="0" fontId="19" fillId="0" borderId="15" xfId="50" applyFont="1" applyBorder="1" applyAlignment="1" applyProtection="1">
      <alignment horizontal="center" vertical="center"/>
    </xf>
    <xf numFmtId="49" fontId="19" fillId="0" borderId="7" xfId="50" applyNumberFormat="1" applyFont="1" applyBorder="1" applyAlignment="1" applyProtection="1">
      <alignment horizontal="left" vertical="center" wrapText="1" indent="1"/>
    </xf>
    <xf numFmtId="0" fontId="19" fillId="0" borderId="15" xfId="50" applyFont="1" applyBorder="1" applyAlignment="1" applyProtection="1">
      <alignment horizontal="center" vertical="top"/>
    </xf>
    <xf numFmtId="49" fontId="19" fillId="0" borderId="15" xfId="50" applyNumberFormat="1" applyFont="1" applyBorder="1" applyAlignment="1" applyProtection="1">
      <alignment horizontal="center" vertical="center"/>
    </xf>
    <xf numFmtId="49" fontId="19" fillId="0" borderId="7" xfId="49" applyNumberFormat="1" applyFont="1" applyBorder="1" applyAlignment="1" applyProtection="1">
      <alignment horizontal="left" vertical="center" wrapText="1" indent="1"/>
    </xf>
    <xf numFmtId="49" fontId="19" fillId="0" borderId="15" xfId="49" applyNumberFormat="1" applyFont="1" applyBorder="1" applyAlignment="1" applyProtection="1">
      <alignment horizontal="center" vertical="top"/>
    </xf>
    <xf numFmtId="0" fontId="19" fillId="0" borderId="15" xfId="0" applyFont="1" applyBorder="1" applyAlignment="1" applyProtection="1">
      <alignment horizontal="center" vertical="center"/>
    </xf>
    <xf numFmtId="0" fontId="22" fillId="3" borderId="7" xfId="50" applyFont="1" applyFill="1" applyBorder="1" applyAlignment="1" applyProtection="1">
      <alignment vertical="center"/>
    </xf>
    <xf numFmtId="0" fontId="19" fillId="3" borderId="16" xfId="50" applyFont="1" applyFill="1" applyBorder="1" applyAlignment="1" applyProtection="1">
      <alignment horizontal="center" vertical="center"/>
    </xf>
    <xf numFmtId="49" fontId="19" fillId="0" borderId="15" xfId="49" applyNumberFormat="1" applyFont="1" applyBorder="1" applyAlignment="1" applyProtection="1">
      <alignment horizontal="center" vertical="center"/>
    </xf>
    <xf numFmtId="165" fontId="21" fillId="3" borderId="7" xfId="49" applyNumberFormat="1" applyFont="1" applyFill="1" applyBorder="1" applyAlignment="1" applyProtection="1">
      <alignment horizontal="left" vertical="center"/>
    </xf>
    <xf numFmtId="49" fontId="21" fillId="3" borderId="16" xfId="49" applyNumberFormat="1" applyFont="1" applyFill="1" applyBorder="1" applyAlignment="1" applyProtection="1">
      <alignment horizontal="center" vertical="center"/>
    </xf>
    <xf numFmtId="0" fontId="21" fillId="0" borderId="46" xfId="0" applyNumberFormat="1" applyFont="1" applyBorder="1" applyAlignment="1" applyProtection="1">
      <alignment horizontal="left" vertical="top"/>
    </xf>
    <xf numFmtId="0" fontId="42" fillId="0" borderId="15" xfId="34" applyFont="1" applyBorder="1" applyAlignment="1" applyProtection="1">
      <alignment horizontal="center"/>
    </xf>
    <xf numFmtId="0" fontId="21" fillId="0" borderId="2" xfId="34" applyFont="1" applyBorder="1" applyAlignment="1" applyProtection="1"/>
    <xf numFmtId="170" fontId="21" fillId="0" borderId="2" xfId="34" applyNumberFormat="1" applyFont="1" applyBorder="1" applyAlignment="1" applyProtection="1">
      <alignment horizontal="center" vertical="center"/>
    </xf>
    <xf numFmtId="1" fontId="21" fillId="0" borderId="2" xfId="34" applyNumberFormat="1" applyFont="1" applyBorder="1" applyAlignment="1" applyProtection="1">
      <alignment horizontal="center" vertical="center"/>
    </xf>
    <xf numFmtId="49" fontId="21" fillId="0" borderId="14" xfId="51" applyNumberFormat="1" applyFont="1" applyBorder="1" applyAlignment="1" applyProtection="1">
      <alignment horizontal="center" vertical="center" wrapText="1"/>
    </xf>
    <xf numFmtId="0" fontId="21" fillId="0" borderId="3" xfId="51" applyFont="1" applyBorder="1" applyAlignment="1" applyProtection="1">
      <alignment horizontal="center" vertical="top" wrapText="1"/>
    </xf>
    <xf numFmtId="170" fontId="21" fillId="0" borderId="3" xfId="51" applyNumberFormat="1" applyFont="1" applyBorder="1" applyAlignment="1" applyProtection="1">
      <alignment horizontal="center" vertical="top" wrapText="1"/>
    </xf>
    <xf numFmtId="1" fontId="21" fillId="0" borderId="3" xfId="51" applyNumberFormat="1" applyFont="1" applyBorder="1" applyAlignment="1" applyProtection="1">
      <alignment horizontal="center" vertical="top" wrapText="1"/>
    </xf>
    <xf numFmtId="1" fontId="21" fillId="0" borderId="3" xfId="2" applyNumberFormat="1" applyFont="1" applyBorder="1" applyAlignment="1" applyProtection="1">
      <alignment horizontal="center" vertical="top" wrapText="1"/>
    </xf>
    <xf numFmtId="38" fontId="23" fillId="0" borderId="20" xfId="34" applyNumberFormat="1" applyFont="1" applyFill="1" applyBorder="1" applyAlignment="1" applyProtection="1">
      <alignment horizontal="right"/>
      <protection locked="0"/>
    </xf>
    <xf numFmtId="0" fontId="19" fillId="0" borderId="0" xfId="0" applyFont="1" applyProtection="1"/>
    <xf numFmtId="0" fontId="24" fillId="0" borderId="116" xfId="0" applyFont="1" applyBorder="1" applyAlignment="1" applyProtection="1">
      <alignment vertical="top" wrapText="1"/>
      <protection locked="0"/>
    </xf>
    <xf numFmtId="0" fontId="19" fillId="0" borderId="0" xfId="0" applyFont="1" applyProtection="1">
      <protection locked="0"/>
    </xf>
    <xf numFmtId="165" fontId="19" fillId="0" borderId="0" xfId="0" applyNumberFormat="1" applyFont="1" applyProtection="1">
      <protection locked="0"/>
    </xf>
    <xf numFmtId="0" fontId="37" fillId="0" borderId="100" xfId="0" applyFont="1" applyBorder="1" applyAlignment="1" applyProtection="1">
      <alignment horizontal="left" vertical="top"/>
      <protection locked="0"/>
    </xf>
    <xf numFmtId="0" fontId="23" fillId="0" borderId="101" xfId="0" applyFont="1" applyBorder="1" applyProtection="1">
      <protection locked="0"/>
    </xf>
    <xf numFmtId="0" fontId="20" fillId="0" borderId="0" xfId="51" applyNumberFormat="1" applyFont="1" applyProtection="1"/>
    <xf numFmtId="49" fontId="21" fillId="4" borderId="28" xfId="29" applyNumberFormat="1" applyFont="1" applyFill="1" applyBorder="1" applyAlignment="1" applyProtection="1">
      <alignment horizontal="left" vertical="center" wrapText="1" indent="2"/>
    </xf>
    <xf numFmtId="0" fontId="19" fillId="4" borderId="50" xfId="0" applyFont="1" applyFill="1" applyBorder="1" applyAlignment="1" applyProtection="1">
      <alignment horizontal="left" vertical="center" wrapText="1" indent="1"/>
    </xf>
    <xf numFmtId="0" fontId="20" fillId="0" borderId="0" xfId="51" applyFont="1" applyProtection="1"/>
    <xf numFmtId="49" fontId="21" fillId="4" borderId="24" xfId="31" applyNumberFormat="1" applyFont="1" applyFill="1" applyBorder="1" applyAlignment="1" applyProtection="1">
      <alignment horizontal="left" vertical="center" wrapText="1" indent="2"/>
    </xf>
    <xf numFmtId="0" fontId="22" fillId="4" borderId="10" xfId="0" applyNumberFormat="1" applyFont="1" applyFill="1" applyBorder="1" applyAlignment="1" applyProtection="1">
      <alignment horizontal="center" vertical="center" wrapText="1"/>
    </xf>
    <xf numFmtId="0" fontId="19" fillId="4" borderId="63" xfId="0" applyFont="1" applyFill="1" applyBorder="1" applyAlignment="1" applyProtection="1">
      <alignment horizontal="left" vertical="center" wrapText="1" indent="1"/>
    </xf>
    <xf numFmtId="0" fontId="19" fillId="0" borderId="0" xfId="51" applyFont="1" applyProtection="1"/>
    <xf numFmtId="0" fontId="20" fillId="0" borderId="0" xfId="51" applyFont="1" applyAlignment="1" applyProtection="1"/>
    <xf numFmtId="0" fontId="23" fillId="0" borderId="0" xfId="51" applyNumberFormat="1" applyFont="1" applyBorder="1" applyAlignment="1" applyProtection="1">
      <alignment horizontal="right"/>
    </xf>
    <xf numFmtId="49" fontId="19" fillId="0" borderId="7" xfId="29" applyNumberFormat="1" applyFont="1" applyBorder="1" applyAlignment="1" applyProtection="1">
      <alignment horizontal="left" vertical="center" indent="1"/>
    </xf>
    <xf numFmtId="49" fontId="19" fillId="0" borderId="15" xfId="29" applyNumberFormat="1" applyFont="1" applyBorder="1" applyAlignment="1" applyProtection="1">
      <alignment horizontal="center" vertical="center"/>
    </xf>
    <xf numFmtId="49" fontId="19" fillId="0" borderId="7" xfId="29" applyNumberFormat="1" applyFont="1" applyBorder="1" applyAlignment="1" applyProtection="1">
      <alignment horizontal="left" vertical="center" wrapText="1" indent="1"/>
    </xf>
    <xf numFmtId="0" fontId="19" fillId="0" borderId="15" xfId="29" applyNumberFormat="1" applyFont="1" applyBorder="1" applyAlignment="1" applyProtection="1">
      <alignment horizontal="center" vertical="center"/>
    </xf>
    <xf numFmtId="0" fontId="19" fillId="0" borderId="7" xfId="0" applyFont="1" applyBorder="1" applyAlignment="1" applyProtection="1">
      <alignment horizontal="left" vertical="center" indent="1"/>
    </xf>
    <xf numFmtId="0" fontId="19" fillId="0" borderId="15" xfId="0" applyFont="1" applyFill="1" applyBorder="1" applyAlignment="1" applyProtection="1">
      <alignment horizontal="center" vertical="center"/>
    </xf>
    <xf numFmtId="49" fontId="19" fillId="0" borderId="7" xfId="29" applyNumberFormat="1" applyFont="1" applyFill="1" applyBorder="1" applyAlignment="1" applyProtection="1">
      <alignment horizontal="left" vertical="center" indent="1"/>
    </xf>
    <xf numFmtId="49" fontId="19" fillId="0" borderId="20" xfId="29" applyNumberFormat="1" applyFont="1" applyFill="1" applyBorder="1" applyAlignment="1" applyProtection="1">
      <alignment vertical="center"/>
    </xf>
    <xf numFmtId="0" fontId="19" fillId="0" borderId="20" xfId="29" applyNumberFormat="1" applyFont="1" applyFill="1" applyBorder="1" applyAlignment="1" applyProtection="1">
      <alignment horizontal="center" vertical="center"/>
    </xf>
    <xf numFmtId="49" fontId="19" fillId="0" borderId="14" xfId="29" applyNumberFormat="1" applyFont="1" applyFill="1" applyBorder="1" applyAlignment="1" applyProtection="1">
      <alignment horizontal="left" vertical="center" indent="1"/>
    </xf>
    <xf numFmtId="0" fontId="19" fillId="0" borderId="3" xfId="29" applyNumberFormat="1" applyFont="1" applyFill="1" applyBorder="1" applyAlignment="1" applyProtection="1">
      <alignment horizontal="center" vertical="center"/>
    </xf>
    <xf numFmtId="49" fontId="22" fillId="4" borderId="28" xfId="29" applyNumberFormat="1" applyFont="1" applyFill="1" applyBorder="1" applyAlignment="1" applyProtection="1">
      <alignment horizontal="left" vertical="center" indent="3"/>
    </xf>
    <xf numFmtId="0" fontId="19" fillId="4" borderId="19" xfId="29" applyNumberFormat="1" applyFont="1" applyFill="1" applyBorder="1" applyAlignment="1" applyProtection="1">
      <alignment horizontal="center" vertical="center"/>
    </xf>
    <xf numFmtId="49" fontId="19" fillId="0" borderId="15" xfId="29" applyNumberFormat="1" applyFont="1" applyBorder="1" applyAlignment="1" applyProtection="1">
      <alignment horizontal="left" vertical="center" indent="1"/>
    </xf>
    <xf numFmtId="49" fontId="19" fillId="0" borderId="14" xfId="29" applyNumberFormat="1" applyFont="1" applyBorder="1" applyAlignment="1" applyProtection="1">
      <alignment horizontal="left" vertical="center" indent="1"/>
    </xf>
    <xf numFmtId="0" fontId="19" fillId="0" borderId="3" xfId="29" applyNumberFormat="1" applyFont="1" applyBorder="1" applyAlignment="1" applyProtection="1">
      <alignment horizontal="center" vertical="center"/>
    </xf>
    <xf numFmtId="49" fontId="22" fillId="4" borderId="28" xfId="29" applyNumberFormat="1" applyFont="1" applyFill="1" applyBorder="1" applyAlignment="1" applyProtection="1">
      <alignment horizontal="left" vertical="center" indent="2"/>
    </xf>
    <xf numFmtId="0" fontId="19" fillId="4" borderId="50" xfId="29" applyFont="1" applyFill="1" applyBorder="1" applyAlignment="1" applyProtection="1">
      <alignment horizontal="right"/>
    </xf>
    <xf numFmtId="49" fontId="22" fillId="4" borderId="28" xfId="27" applyNumberFormat="1" applyFont="1" applyFill="1" applyBorder="1" applyAlignment="1" applyProtection="1">
      <alignment horizontal="left" vertical="center" indent="2"/>
    </xf>
    <xf numFmtId="49" fontId="22" fillId="4" borderId="50" xfId="27" applyNumberFormat="1" applyFont="1" applyFill="1" applyBorder="1" applyAlignment="1" applyProtection="1">
      <alignment horizontal="left" vertical="center"/>
    </xf>
    <xf numFmtId="165" fontId="21" fillId="3" borderId="14" xfId="0" applyNumberFormat="1" applyFont="1" applyFill="1" applyBorder="1" applyAlignment="1" applyProtection="1">
      <alignment horizontal="left" vertical="center"/>
    </xf>
    <xf numFmtId="49" fontId="22" fillId="3" borderId="47" xfId="27" applyNumberFormat="1" applyFont="1" applyFill="1" applyBorder="1" applyAlignment="1" applyProtection="1">
      <alignment horizontal="left" vertical="center"/>
    </xf>
    <xf numFmtId="49" fontId="19" fillId="0" borderId="7" xfId="25" applyNumberFormat="1" applyFont="1" applyBorder="1" applyAlignment="1" applyProtection="1">
      <alignment horizontal="left" vertical="center" wrapText="1" indent="1"/>
    </xf>
    <xf numFmtId="49" fontId="19" fillId="0" borderId="15" xfId="25" applyNumberFormat="1" applyFont="1" applyBorder="1" applyAlignment="1" applyProtection="1">
      <alignment horizontal="center" vertical="center"/>
    </xf>
    <xf numFmtId="49" fontId="19" fillId="0" borderId="7" xfId="25" applyNumberFormat="1" applyFont="1" applyBorder="1" applyAlignment="1" applyProtection="1">
      <alignment horizontal="left" vertical="center" indent="1"/>
    </xf>
    <xf numFmtId="0" fontId="19" fillId="0" borderId="15" xfId="25" applyNumberFormat="1" applyFont="1" applyBorder="1" applyAlignment="1" applyProtection="1">
      <alignment horizontal="center" vertical="center"/>
    </xf>
    <xf numFmtId="49" fontId="19" fillId="0" borderId="7" xfId="27" applyNumberFormat="1" applyFont="1" applyBorder="1" applyAlignment="1" applyProtection="1">
      <alignment horizontal="left" vertical="center" indent="1"/>
    </xf>
    <xf numFmtId="0" fontId="19" fillId="0" borderId="15" xfId="27" applyNumberFormat="1" applyFont="1" applyBorder="1" applyAlignment="1" applyProtection="1">
      <alignment horizontal="center" vertical="center"/>
    </xf>
    <xf numFmtId="49" fontId="19" fillId="0" borderId="7" xfId="27" applyNumberFormat="1" applyFont="1" applyBorder="1" applyAlignment="1" applyProtection="1">
      <alignment horizontal="left" vertical="center" wrapText="1" indent="1"/>
    </xf>
    <xf numFmtId="49" fontId="22" fillId="4" borderId="28" xfId="25" applyNumberFormat="1" applyFont="1" applyFill="1" applyBorder="1" applyAlignment="1" applyProtection="1">
      <alignment horizontal="left" vertical="center" indent="2"/>
    </xf>
    <xf numFmtId="5" fontId="19" fillId="4" borderId="50" xfId="25" applyNumberFormat="1" applyFont="1" applyFill="1" applyBorder="1" applyAlignment="1" applyProtection="1">
      <alignment horizontal="right"/>
    </xf>
    <xf numFmtId="0" fontId="21" fillId="3" borderId="14" xfId="51" applyFont="1" applyFill="1" applyBorder="1" applyAlignment="1" applyProtection="1">
      <alignment vertical="center"/>
    </xf>
    <xf numFmtId="0" fontId="22" fillId="3" borderId="47" xfId="25" applyNumberFormat="1" applyFont="1" applyFill="1" applyBorder="1" applyAlignment="1" applyProtection="1">
      <alignment horizontal="center" vertical="center"/>
    </xf>
    <xf numFmtId="0" fontId="19" fillId="0" borderId="15" xfId="23" applyNumberFormat="1" applyFont="1" applyBorder="1" applyAlignment="1" applyProtection="1">
      <alignment horizontal="center" vertical="center"/>
    </xf>
    <xf numFmtId="0" fontId="22" fillId="4" borderId="50" xfId="23" applyNumberFormat="1" applyFont="1" applyFill="1" applyBorder="1" applyAlignment="1" applyProtection="1">
      <alignment horizontal="center"/>
    </xf>
    <xf numFmtId="49" fontId="19" fillId="0" borderId="7" xfId="21" applyNumberFormat="1" applyFont="1" applyFill="1" applyBorder="1" applyAlignment="1" applyProtection="1">
      <alignment horizontal="left" vertical="center" indent="1"/>
    </xf>
    <xf numFmtId="49" fontId="22" fillId="4" borderId="28" xfId="21" applyNumberFormat="1" applyFont="1" applyFill="1" applyBorder="1" applyAlignment="1" applyProtection="1">
      <alignment horizontal="left" vertical="center" indent="2"/>
    </xf>
    <xf numFmtId="49" fontId="22" fillId="4" borderId="50" xfId="0" applyNumberFormat="1" applyFont="1" applyFill="1" applyBorder="1" applyAlignment="1" applyProtection="1">
      <alignment horizontal="center" vertical="center"/>
    </xf>
    <xf numFmtId="49" fontId="22" fillId="3" borderId="47" xfId="0" applyNumberFormat="1" applyFont="1" applyFill="1" applyBorder="1" applyAlignment="1" applyProtection="1">
      <alignment horizontal="center" vertical="center"/>
    </xf>
    <xf numFmtId="49" fontId="19" fillId="0" borderId="7" xfId="21" applyNumberFormat="1" applyFont="1" applyBorder="1" applyAlignment="1" applyProtection="1">
      <alignment horizontal="left" vertical="center" indent="1"/>
    </xf>
    <xf numFmtId="49" fontId="19" fillId="0" borderId="15" xfId="21" applyNumberFormat="1" applyFont="1" applyBorder="1" applyAlignment="1" applyProtection="1">
      <alignment horizontal="center" vertical="center"/>
    </xf>
    <xf numFmtId="0" fontId="22" fillId="4" borderId="50" xfId="0" applyFont="1" applyFill="1" applyBorder="1" applyAlignment="1" applyProtection="1">
      <alignment horizontal="center" vertical="top" wrapText="1"/>
    </xf>
    <xf numFmtId="38" fontId="23" fillId="3" borderId="8" xfId="0" applyNumberFormat="1" applyFont="1" applyFill="1" applyBorder="1" applyAlignment="1" applyProtection="1">
      <alignment horizontal="right"/>
    </xf>
    <xf numFmtId="49" fontId="21" fillId="3" borderId="48" xfId="21" applyNumberFormat="1" applyFont="1" applyFill="1" applyBorder="1" applyAlignment="1" applyProtection="1">
      <alignment horizontal="left" vertical="center"/>
    </xf>
    <xf numFmtId="0" fontId="22" fillId="3" borderId="16" xfId="0" applyFont="1" applyFill="1" applyBorder="1" applyAlignment="1" applyProtection="1">
      <alignment horizontal="center" vertical="center" wrapText="1"/>
    </xf>
    <xf numFmtId="49" fontId="19" fillId="0" borderId="15" xfId="21" applyNumberFormat="1" applyFont="1" applyBorder="1" applyAlignment="1" applyProtection="1">
      <alignment horizontal="left" vertical="center" indent="1"/>
    </xf>
    <xf numFmtId="0" fontId="19" fillId="0" borderId="15" xfId="21" applyNumberFormat="1" applyFont="1" applyBorder="1" applyAlignment="1" applyProtection="1">
      <alignment horizontal="center" vertical="center"/>
    </xf>
    <xf numFmtId="49" fontId="19" fillId="0" borderId="15" xfId="21" applyNumberFormat="1" applyFont="1" applyBorder="1" applyAlignment="1" applyProtection="1">
      <alignment horizontal="left" vertical="center" wrapText="1" indent="1"/>
    </xf>
    <xf numFmtId="0" fontId="19" fillId="0" borderId="15" xfId="21" applyNumberFormat="1" applyFont="1" applyBorder="1" applyAlignment="1" applyProtection="1">
      <alignment horizontal="center" vertical="top"/>
    </xf>
    <xf numFmtId="49" fontId="19" fillId="0" borderId="7" xfId="21" applyNumberFormat="1" applyFont="1" applyBorder="1" applyAlignment="1" applyProtection="1">
      <alignment horizontal="left" vertical="center" wrapText="1" indent="1"/>
    </xf>
    <xf numFmtId="49" fontId="22" fillId="4" borderId="28" xfId="19" applyNumberFormat="1" applyFont="1" applyFill="1" applyBorder="1" applyAlignment="1" applyProtection="1">
      <alignment horizontal="left" vertical="center" wrapText="1" indent="2"/>
    </xf>
    <xf numFmtId="49" fontId="22" fillId="4" borderId="24" xfId="19" applyNumberFormat="1" applyFont="1" applyFill="1" applyBorder="1" applyAlignment="1" applyProtection="1">
      <alignment horizontal="left" vertical="center" wrapText="1" indent="2"/>
    </xf>
    <xf numFmtId="0" fontId="22" fillId="4" borderId="10" xfId="0" applyFont="1" applyFill="1" applyBorder="1" applyAlignment="1" applyProtection="1">
      <alignment horizontal="center" wrapText="1"/>
    </xf>
    <xf numFmtId="49" fontId="21" fillId="10" borderId="21" xfId="21" applyNumberFormat="1" applyFont="1" applyFill="1" applyBorder="1" applyAlignment="1" applyProtection="1">
      <alignment horizontal="left" vertical="center"/>
    </xf>
    <xf numFmtId="0" fontId="22" fillId="10" borderId="61" xfId="21" applyNumberFormat="1" applyFont="1" applyFill="1" applyBorder="1" applyAlignment="1" applyProtection="1">
      <alignment horizontal="center" vertical="center"/>
    </xf>
    <xf numFmtId="49" fontId="19" fillId="0" borderId="15" xfId="19" applyNumberFormat="1" applyFont="1" applyBorder="1" applyAlignment="1" applyProtection="1">
      <alignment horizontal="left" vertical="center" wrapText="1" indent="1"/>
    </xf>
    <xf numFmtId="0" fontId="19" fillId="0" borderId="15" xfId="19" applyNumberFormat="1" applyFont="1" applyBorder="1" applyAlignment="1" applyProtection="1">
      <alignment horizontal="center" vertical="top"/>
    </xf>
    <xf numFmtId="49" fontId="19" fillId="0" borderId="15" xfId="19" applyNumberFormat="1" applyFont="1" applyBorder="1" applyAlignment="1" applyProtection="1">
      <alignment horizontal="left" vertical="center" indent="1"/>
    </xf>
    <xf numFmtId="0" fontId="19" fillId="0" borderId="15" xfId="19" applyNumberFormat="1" applyFont="1" applyBorder="1" applyAlignment="1" applyProtection="1">
      <alignment horizontal="center" vertical="center"/>
    </xf>
    <xf numFmtId="49" fontId="19" fillId="0" borderId="14" xfId="15" applyNumberFormat="1" applyFont="1" applyBorder="1" applyAlignment="1" applyProtection="1">
      <alignment horizontal="left" vertical="center" indent="1"/>
    </xf>
    <xf numFmtId="0" fontId="19" fillId="0" borderId="3" xfId="15" applyNumberFormat="1" applyFont="1" applyBorder="1" applyAlignment="1" applyProtection="1">
      <alignment horizontal="center" vertical="center"/>
    </xf>
    <xf numFmtId="49" fontId="19" fillId="0" borderId="7" xfId="15" applyNumberFormat="1" applyFont="1" applyBorder="1" applyAlignment="1" applyProtection="1">
      <alignment horizontal="left" vertical="center" indent="1"/>
    </xf>
    <xf numFmtId="49" fontId="19" fillId="0" borderId="7" xfId="17" applyNumberFormat="1" applyFont="1" applyBorder="1" applyAlignment="1" applyProtection="1">
      <alignment horizontal="left" vertical="center" indent="1"/>
    </xf>
    <xf numFmtId="49" fontId="19" fillId="0" borderId="15" xfId="17" applyNumberFormat="1" applyFont="1" applyBorder="1" applyAlignment="1" applyProtection="1">
      <alignment horizontal="left" vertical="center" indent="1"/>
    </xf>
    <xf numFmtId="0" fontId="19" fillId="0" borderId="15" xfId="17" applyNumberFormat="1" applyFont="1" applyBorder="1" applyAlignment="1" applyProtection="1">
      <alignment horizontal="center" vertical="center"/>
    </xf>
    <xf numFmtId="0" fontId="19" fillId="0" borderId="13" xfId="19" applyNumberFormat="1" applyFont="1" applyBorder="1" applyAlignment="1" applyProtection="1">
      <alignment horizontal="center" vertical="center"/>
    </xf>
    <xf numFmtId="49" fontId="22" fillId="4" borderId="28" xfId="15" applyNumberFormat="1" applyFont="1" applyFill="1" applyBorder="1" applyAlignment="1" applyProtection="1">
      <alignment horizontal="left" vertical="center" indent="2"/>
    </xf>
    <xf numFmtId="49" fontId="22" fillId="4" borderId="50" xfId="15" applyNumberFormat="1" applyFont="1" applyFill="1" applyBorder="1" applyAlignment="1" applyProtection="1">
      <alignment horizontal="left" vertical="center"/>
    </xf>
    <xf numFmtId="49" fontId="19" fillId="0" borderId="15" xfId="15" applyNumberFormat="1" applyFont="1" applyBorder="1" applyAlignment="1" applyProtection="1">
      <alignment horizontal="left" vertical="center" indent="1"/>
    </xf>
    <xf numFmtId="49" fontId="19" fillId="0" borderId="15" xfId="15" applyNumberFormat="1" applyFont="1" applyBorder="1" applyAlignment="1" applyProtection="1">
      <alignment horizontal="center" vertical="center"/>
    </xf>
    <xf numFmtId="0" fontId="19" fillId="0" borderId="15" xfId="15" applyNumberFormat="1" applyFont="1" applyBorder="1" applyAlignment="1" applyProtection="1">
      <alignment horizontal="center" vertical="center"/>
    </xf>
    <xf numFmtId="0" fontId="22" fillId="3" borderId="16" xfId="0" applyFont="1" applyFill="1" applyBorder="1" applyAlignment="1" applyProtection="1">
      <alignment horizontal="center" vertical="center"/>
    </xf>
    <xf numFmtId="49" fontId="19" fillId="0" borderId="15" xfId="13" applyNumberFormat="1" applyFont="1" applyBorder="1" applyAlignment="1" applyProtection="1">
      <alignment horizontal="left" vertical="center" indent="1"/>
    </xf>
    <xf numFmtId="0" fontId="19" fillId="0" borderId="15" xfId="13" applyNumberFormat="1" applyFont="1" applyBorder="1" applyAlignment="1" applyProtection="1">
      <alignment horizontal="center" vertical="center"/>
    </xf>
    <xf numFmtId="0" fontId="19" fillId="0" borderId="15" xfId="0" applyFont="1" applyBorder="1" applyAlignment="1" applyProtection="1">
      <alignment horizontal="left" vertical="center" indent="1"/>
    </xf>
    <xf numFmtId="49" fontId="19" fillId="0" borderId="3" xfId="13" applyNumberFormat="1" applyFont="1" applyBorder="1" applyAlignment="1" applyProtection="1">
      <alignment horizontal="left" vertical="center" indent="1"/>
    </xf>
    <xf numFmtId="0" fontId="19" fillId="0" borderId="3" xfId="13" applyNumberFormat="1" applyFont="1" applyBorder="1" applyAlignment="1" applyProtection="1">
      <alignment horizontal="center" vertical="center"/>
    </xf>
    <xf numFmtId="49" fontId="22" fillId="4" borderId="28" xfId="13" applyNumberFormat="1" applyFont="1" applyFill="1" applyBorder="1" applyAlignment="1" applyProtection="1">
      <alignment horizontal="left" vertical="center" indent="2"/>
    </xf>
    <xf numFmtId="0" fontId="22" fillId="4" borderId="50" xfId="13" applyNumberFormat="1" applyFont="1" applyFill="1" applyBorder="1" applyAlignment="1" applyProtection="1">
      <alignment horizontal="center" vertical="center"/>
    </xf>
    <xf numFmtId="49" fontId="19" fillId="0" borderId="7" xfId="13" applyNumberFormat="1" applyFont="1" applyBorder="1" applyAlignment="1" applyProtection="1">
      <alignment horizontal="left" vertical="center" indent="1"/>
    </xf>
    <xf numFmtId="0" fontId="19" fillId="4" borderId="50" xfId="13" applyFont="1" applyFill="1" applyBorder="1" applyAlignment="1" applyProtection="1">
      <alignment horizontal="center" vertical="center"/>
    </xf>
    <xf numFmtId="0" fontId="22" fillId="3" borderId="47" xfId="13" applyFont="1" applyFill="1" applyBorder="1" applyAlignment="1" applyProtection="1">
      <alignment horizontal="center" vertical="center"/>
    </xf>
    <xf numFmtId="49" fontId="19" fillId="0" borderId="7" xfId="13" applyNumberFormat="1" applyFont="1" applyBorder="1" applyAlignment="1" applyProtection="1">
      <alignment horizontal="left" vertical="center" wrapText="1" indent="1"/>
    </xf>
    <xf numFmtId="49" fontId="22" fillId="4" borderId="28" xfId="11" applyNumberFormat="1" applyFont="1" applyFill="1" applyBorder="1" applyAlignment="1" applyProtection="1">
      <alignment horizontal="left" vertical="center" indent="2"/>
    </xf>
    <xf numFmtId="0" fontId="22" fillId="4" borderId="50" xfId="11" applyNumberFormat="1" applyFont="1" applyFill="1" applyBorder="1" applyAlignment="1" applyProtection="1">
      <alignment horizontal="center" vertical="center"/>
    </xf>
    <xf numFmtId="0" fontId="22" fillId="3" borderId="47" xfId="11" applyNumberFormat="1" applyFont="1" applyFill="1" applyBorder="1" applyAlignment="1" applyProtection="1">
      <alignment horizontal="center" vertical="center"/>
    </xf>
    <xf numFmtId="49" fontId="19" fillId="0" borderId="7" xfId="11" applyNumberFormat="1" applyFont="1" applyBorder="1" applyAlignment="1" applyProtection="1">
      <alignment horizontal="left" vertical="center" indent="1"/>
    </xf>
    <xf numFmtId="0" fontId="19" fillId="0" borderId="15" xfId="11" applyNumberFormat="1" applyFont="1" applyBorder="1" applyAlignment="1" applyProtection="1">
      <alignment horizontal="center" vertical="center"/>
    </xf>
    <xf numFmtId="49" fontId="19" fillId="0" borderId="15" xfId="11" applyNumberFormat="1" applyFont="1" applyBorder="1" applyAlignment="1" applyProtection="1">
      <alignment horizontal="center" vertical="center"/>
    </xf>
    <xf numFmtId="0" fontId="19" fillId="4" borderId="50" xfId="0" applyFont="1" applyFill="1" applyBorder="1" applyAlignment="1" applyProtection="1">
      <alignment horizontal="left" vertical="center"/>
    </xf>
    <xf numFmtId="49" fontId="21" fillId="11" borderId="14" xfId="11" applyNumberFormat="1" applyFont="1" applyFill="1" applyBorder="1" applyAlignment="1" applyProtection="1">
      <alignment horizontal="left" vertical="center"/>
    </xf>
    <xf numFmtId="0" fontId="22" fillId="11" borderId="61" xfId="0" applyFont="1" applyFill="1" applyBorder="1" applyAlignment="1" applyProtection="1">
      <alignment horizontal="center" vertical="center"/>
    </xf>
    <xf numFmtId="49" fontId="21" fillId="3" borderId="7" xfId="11" applyNumberFormat="1" applyFont="1" applyFill="1" applyBorder="1" applyAlignment="1" applyProtection="1">
      <alignment horizontal="left" vertical="center"/>
    </xf>
    <xf numFmtId="0" fontId="22" fillId="3" borderId="16" xfId="0" applyFont="1" applyFill="1" applyBorder="1" applyAlignment="1" applyProtection="1"/>
    <xf numFmtId="0" fontId="20" fillId="0" borderId="0" xfId="51" applyFont="1" applyFill="1" applyProtection="1"/>
    <xf numFmtId="49" fontId="21" fillId="11" borderId="7" xfId="9" applyNumberFormat="1" applyFont="1" applyFill="1" applyBorder="1" applyAlignment="1" applyProtection="1">
      <alignment horizontal="left" vertical="center"/>
    </xf>
    <xf numFmtId="49" fontId="22" fillId="11" borderId="16" xfId="9" applyNumberFormat="1" applyFont="1" applyFill="1" applyBorder="1" applyAlignment="1" applyProtection="1">
      <alignment horizontal="center" vertical="center"/>
    </xf>
    <xf numFmtId="49" fontId="19" fillId="0" borderId="7" xfId="9" applyNumberFormat="1" applyFont="1" applyBorder="1" applyAlignment="1" applyProtection="1">
      <alignment horizontal="left" vertical="center" indent="1"/>
    </xf>
    <xf numFmtId="0" fontId="19" fillId="0" borderId="15" xfId="9" applyNumberFormat="1" applyFont="1" applyBorder="1" applyAlignment="1" applyProtection="1">
      <alignment horizontal="center" vertical="center"/>
    </xf>
    <xf numFmtId="49" fontId="19" fillId="0" borderId="7" xfId="9" applyNumberFormat="1" applyFont="1" applyBorder="1" applyAlignment="1" applyProtection="1">
      <alignment horizontal="left" vertical="center" wrapText="1" indent="1"/>
    </xf>
    <xf numFmtId="49" fontId="19" fillId="0" borderId="15" xfId="9" applyNumberFormat="1" applyFont="1" applyBorder="1" applyAlignment="1" applyProtection="1">
      <alignment horizontal="center" vertical="center"/>
    </xf>
    <xf numFmtId="49" fontId="19" fillId="0" borderId="7" xfId="9" applyNumberFormat="1" applyFont="1" applyFill="1" applyBorder="1" applyAlignment="1" applyProtection="1">
      <alignment horizontal="left" vertical="center" wrapText="1" indent="1"/>
    </xf>
    <xf numFmtId="49" fontId="19" fillId="0" borderId="15" xfId="9" applyNumberFormat="1" applyFont="1" applyFill="1" applyBorder="1" applyAlignment="1" applyProtection="1">
      <alignment horizontal="center" vertical="center"/>
    </xf>
    <xf numFmtId="49" fontId="19" fillId="0" borderId="7" xfId="11" applyNumberFormat="1" applyFont="1" applyBorder="1" applyAlignment="1" applyProtection="1">
      <alignment horizontal="left" vertical="center" wrapText="1" indent="1"/>
    </xf>
    <xf numFmtId="49" fontId="19" fillId="0" borderId="15" xfId="11" applyNumberFormat="1" applyFont="1" applyBorder="1" applyAlignment="1" applyProtection="1">
      <alignment horizontal="center" vertical="top"/>
    </xf>
    <xf numFmtId="49" fontId="22" fillId="4" borderId="28" xfId="9" applyNumberFormat="1" applyFont="1" applyFill="1" applyBorder="1" applyAlignment="1" applyProtection="1">
      <alignment horizontal="left" vertical="center" wrapText="1" indent="2"/>
    </xf>
    <xf numFmtId="49" fontId="22" fillId="4" borderId="19" xfId="0" applyNumberFormat="1" applyFont="1" applyFill="1" applyBorder="1" applyAlignment="1" applyProtection="1">
      <alignment horizontal="center" vertical="center"/>
    </xf>
    <xf numFmtId="49" fontId="21" fillId="10" borderId="14" xfId="9" applyNumberFormat="1" applyFont="1" applyFill="1" applyBorder="1" applyAlignment="1" applyProtection="1">
      <alignment horizontal="left" vertical="center"/>
    </xf>
    <xf numFmtId="0" fontId="22" fillId="10" borderId="61" xfId="9" applyNumberFormat="1" applyFont="1" applyFill="1" applyBorder="1" applyAlignment="1" applyProtection="1">
      <alignment horizontal="center" vertical="center"/>
    </xf>
    <xf numFmtId="49" fontId="19" fillId="0" borderId="14" xfId="9" applyNumberFormat="1" applyFont="1" applyBorder="1" applyAlignment="1" applyProtection="1">
      <alignment horizontal="left" vertical="center" indent="1"/>
    </xf>
    <xf numFmtId="0" fontId="19" fillId="0" borderId="3" xfId="9" applyNumberFormat="1" applyFont="1" applyBorder="1" applyAlignment="1" applyProtection="1">
      <alignment horizontal="center" vertical="center"/>
    </xf>
    <xf numFmtId="49" fontId="22" fillId="4" borderId="28" xfId="9" applyNumberFormat="1" applyFont="1" applyFill="1" applyBorder="1" applyAlignment="1" applyProtection="1">
      <alignment horizontal="left" vertical="center" indent="2"/>
    </xf>
    <xf numFmtId="49" fontId="22" fillId="4" borderId="24" xfId="9" applyNumberFormat="1" applyFont="1" applyFill="1" applyBorder="1" applyAlignment="1" applyProtection="1">
      <alignment horizontal="left" vertical="center" wrapText="1" indent="2"/>
    </xf>
    <xf numFmtId="49" fontId="22" fillId="4" borderId="10" xfId="0" applyNumberFormat="1" applyFont="1" applyFill="1" applyBorder="1" applyAlignment="1" applyProtection="1">
      <alignment horizontal="center" vertical="center"/>
    </xf>
    <xf numFmtId="49" fontId="22" fillId="4" borderId="22" xfId="9" applyNumberFormat="1" applyFont="1" applyFill="1" applyBorder="1" applyAlignment="1" applyProtection="1">
      <alignment horizontal="left" vertical="center" wrapText="1" indent="2"/>
    </xf>
    <xf numFmtId="49" fontId="22" fillId="4" borderId="45" xfId="0" applyNumberFormat="1" applyFont="1" applyFill="1" applyBorder="1" applyAlignment="1" applyProtection="1">
      <alignment horizontal="center" vertical="center"/>
    </xf>
    <xf numFmtId="49" fontId="21" fillId="10" borderId="21" xfId="9" applyNumberFormat="1" applyFont="1" applyFill="1" applyBorder="1" applyAlignment="1" applyProtection="1">
      <alignment horizontal="left" vertical="center" wrapText="1"/>
    </xf>
    <xf numFmtId="0" fontId="22" fillId="10" borderId="67" xfId="9" applyNumberFormat="1" applyFont="1" applyFill="1" applyBorder="1" applyAlignment="1" applyProtection="1">
      <alignment horizontal="center" vertical="top"/>
    </xf>
    <xf numFmtId="49" fontId="19" fillId="0" borderId="15" xfId="9" applyNumberFormat="1" applyFont="1" applyBorder="1" applyAlignment="1" applyProtection="1">
      <alignment horizontal="left" vertical="center" indent="1"/>
    </xf>
    <xf numFmtId="49" fontId="22" fillId="4" borderId="28" xfId="7" applyNumberFormat="1" applyFont="1" applyFill="1" applyBorder="1" applyAlignment="1" applyProtection="1">
      <alignment horizontal="left" vertical="center" indent="2"/>
    </xf>
    <xf numFmtId="49" fontId="22" fillId="4" borderId="50" xfId="7" applyNumberFormat="1" applyFont="1" applyFill="1" applyBorder="1" applyAlignment="1" applyProtection="1">
      <alignment horizontal="center" vertical="center"/>
    </xf>
    <xf numFmtId="49" fontId="21" fillId="11" borderId="14" xfId="9" applyNumberFormat="1" applyFont="1" applyFill="1" applyBorder="1" applyAlignment="1" applyProtection="1">
      <alignment horizontal="left" vertical="center"/>
    </xf>
    <xf numFmtId="49" fontId="22" fillId="11" borderId="47" xfId="9" applyNumberFormat="1" applyFont="1" applyFill="1" applyBorder="1" applyAlignment="1" applyProtection="1">
      <alignment horizontal="center" vertical="center"/>
    </xf>
    <xf numFmtId="49" fontId="19" fillId="0" borderId="15" xfId="7" applyNumberFormat="1" applyFont="1" applyBorder="1" applyAlignment="1" applyProtection="1">
      <alignment horizontal="left" vertical="center" indent="1"/>
    </xf>
    <xf numFmtId="49" fontId="19" fillId="0" borderId="15" xfId="7" applyNumberFormat="1" applyFont="1" applyBorder="1" applyAlignment="1" applyProtection="1">
      <alignment horizontal="center" vertical="center"/>
    </xf>
    <xf numFmtId="49" fontId="21" fillId="11" borderId="14" xfId="7" applyNumberFormat="1" applyFont="1" applyFill="1" applyBorder="1" applyAlignment="1" applyProtection="1">
      <alignment horizontal="left" vertical="center"/>
    </xf>
    <xf numFmtId="49" fontId="22" fillId="11" borderId="47" xfId="7" applyNumberFormat="1" applyFont="1" applyFill="1" applyBorder="1" applyAlignment="1" applyProtection="1">
      <alignment horizontal="center" vertical="center"/>
    </xf>
    <xf numFmtId="49" fontId="19" fillId="0" borderId="7" xfId="7" applyNumberFormat="1" applyFont="1" applyBorder="1" applyAlignment="1" applyProtection="1">
      <alignment horizontal="left" vertical="center" indent="1"/>
    </xf>
    <xf numFmtId="49" fontId="19" fillId="0" borderId="15" xfId="5" applyNumberFormat="1" applyFont="1" applyBorder="1" applyAlignment="1" applyProtection="1">
      <alignment horizontal="left" vertical="center" indent="1"/>
    </xf>
    <xf numFmtId="49" fontId="19" fillId="0" borderId="15" xfId="5" applyNumberFormat="1" applyFont="1" applyBorder="1" applyAlignment="1" applyProtection="1">
      <alignment horizontal="center" vertical="center"/>
    </xf>
    <xf numFmtId="49" fontId="22" fillId="4" borderId="28" xfId="5" applyNumberFormat="1" applyFont="1" applyFill="1" applyBorder="1" applyAlignment="1" applyProtection="1">
      <alignment horizontal="left" vertical="center" indent="2"/>
    </xf>
    <xf numFmtId="49" fontId="22" fillId="4" borderId="50" xfId="5" applyNumberFormat="1" applyFont="1" applyFill="1" applyBorder="1" applyAlignment="1" applyProtection="1">
      <alignment horizontal="center" vertical="center"/>
    </xf>
    <xf numFmtId="49" fontId="21" fillId="11" borderId="14" xfId="5" applyNumberFormat="1" applyFont="1" applyFill="1" applyBorder="1" applyAlignment="1" applyProtection="1">
      <alignment horizontal="left" vertical="center"/>
    </xf>
    <xf numFmtId="49" fontId="22" fillId="11" borderId="47" xfId="5" applyNumberFormat="1" applyFont="1" applyFill="1" applyBorder="1" applyAlignment="1" applyProtection="1">
      <alignment horizontal="center" vertical="center"/>
    </xf>
    <xf numFmtId="49" fontId="19" fillId="0" borderId="7" xfId="5" applyNumberFormat="1" applyFont="1" applyBorder="1" applyAlignment="1" applyProtection="1">
      <alignment horizontal="left" vertical="center" indent="1"/>
    </xf>
    <xf numFmtId="49" fontId="19" fillId="0" borderId="15" xfId="3" applyNumberFormat="1" applyFont="1" applyBorder="1" applyAlignment="1" applyProtection="1">
      <alignment horizontal="left" vertical="center" wrapText="1" indent="1"/>
    </xf>
    <xf numFmtId="0" fontId="19" fillId="0" borderId="15" xfId="3" applyFont="1" applyBorder="1" applyAlignment="1" applyProtection="1">
      <alignment horizontal="center" vertical="center"/>
    </xf>
    <xf numFmtId="49" fontId="19" fillId="0" borderId="2" xfId="3" applyNumberFormat="1" applyFont="1" applyBorder="1" applyAlignment="1" applyProtection="1">
      <alignment horizontal="left" vertical="center" wrapText="1" indent="1"/>
    </xf>
    <xf numFmtId="0" fontId="19" fillId="0" borderId="2" xfId="3" applyFont="1" applyBorder="1" applyAlignment="1" applyProtection="1">
      <alignment horizontal="center" vertical="top"/>
    </xf>
    <xf numFmtId="49" fontId="19" fillId="0" borderId="15" xfId="5" applyNumberFormat="1" applyFont="1" applyBorder="1" applyAlignment="1" applyProtection="1">
      <alignment horizontal="left" vertical="center" wrapText="1" indent="1"/>
    </xf>
    <xf numFmtId="49" fontId="19" fillId="0" borderId="2" xfId="5" applyNumberFormat="1" applyFont="1" applyBorder="1" applyAlignment="1" applyProtection="1">
      <alignment horizontal="center" vertical="center"/>
    </xf>
    <xf numFmtId="49" fontId="19" fillId="0" borderId="15" xfId="5" applyNumberFormat="1" applyFont="1" applyBorder="1" applyAlignment="1" applyProtection="1">
      <alignment horizontal="center" vertical="top"/>
    </xf>
    <xf numFmtId="49" fontId="19" fillId="0" borderId="16" xfId="5" applyNumberFormat="1" applyFont="1" applyBorder="1" applyAlignment="1" applyProtection="1">
      <alignment horizontal="center" vertical="center"/>
    </xf>
    <xf numFmtId="49" fontId="22" fillId="4" borderId="28" xfId="3" applyNumberFormat="1" applyFont="1" applyFill="1" applyBorder="1" applyAlignment="1" applyProtection="1">
      <alignment horizontal="left" vertical="center" indent="2"/>
    </xf>
    <xf numFmtId="0" fontId="22" fillId="4" borderId="50" xfId="3" applyFont="1" applyFill="1" applyBorder="1" applyAlignment="1" applyProtection="1">
      <alignment horizontal="center" vertical="center"/>
    </xf>
    <xf numFmtId="49" fontId="21" fillId="11" borderId="14" xfId="3" applyNumberFormat="1" applyFont="1" applyFill="1" applyBorder="1" applyAlignment="1" applyProtection="1">
      <alignment horizontal="left" vertical="center"/>
    </xf>
    <xf numFmtId="0" fontId="22" fillId="11" borderId="47" xfId="3" applyFont="1" applyFill="1" applyBorder="1" applyAlignment="1" applyProtection="1">
      <alignment horizontal="center" vertical="center"/>
    </xf>
    <xf numFmtId="0" fontId="20" fillId="0" borderId="0" xfId="51" applyFont="1" applyBorder="1" applyAlignment="1" applyProtection="1">
      <alignment vertical="top"/>
    </xf>
    <xf numFmtId="0" fontId="24" fillId="0" borderId="0" xfId="51" applyFont="1" applyAlignment="1" applyProtection="1"/>
    <xf numFmtId="49" fontId="23" fillId="0" borderId="7" xfId="51" applyNumberFormat="1" applyFont="1" applyBorder="1" applyAlignment="1" applyProtection="1">
      <alignment horizontal="left" vertical="center" indent="1"/>
    </xf>
    <xf numFmtId="0" fontId="19" fillId="0" borderId="15" xfId="51" applyFont="1" applyBorder="1" applyAlignment="1" applyProtection="1">
      <alignment horizontal="center" vertical="center"/>
    </xf>
    <xf numFmtId="49" fontId="23" fillId="0" borderId="48" xfId="51" applyNumberFormat="1" applyFont="1" applyBorder="1" applyAlignment="1" applyProtection="1">
      <alignment horizontal="left" vertical="center" indent="1"/>
    </xf>
    <xf numFmtId="0" fontId="19" fillId="0" borderId="2" xfId="51" applyFont="1" applyBorder="1" applyAlignment="1" applyProtection="1">
      <alignment horizontal="center" vertical="center"/>
    </xf>
    <xf numFmtId="49" fontId="23" fillId="0" borderId="7" xfId="3" applyNumberFormat="1" applyFont="1" applyBorder="1" applyAlignment="1" applyProtection="1">
      <alignment horizontal="left" vertical="center" indent="1"/>
    </xf>
    <xf numFmtId="49" fontId="19" fillId="0" borderId="15" xfId="3" applyNumberFormat="1" applyFont="1" applyBorder="1" applyAlignment="1" applyProtection="1">
      <alignment horizontal="center" vertical="center"/>
    </xf>
    <xf numFmtId="49" fontId="22" fillId="4" borderId="28" xfId="51" applyNumberFormat="1" applyFont="1" applyFill="1" applyBorder="1" applyAlignment="1" applyProtection="1">
      <alignment horizontal="left" vertical="center" indent="2"/>
    </xf>
    <xf numFmtId="0" fontId="22" fillId="4" borderId="50" xfId="51" applyFont="1" applyFill="1" applyBorder="1" applyAlignment="1" applyProtection="1">
      <alignment horizontal="center" vertical="top"/>
    </xf>
    <xf numFmtId="0" fontId="20" fillId="0" borderId="0" xfId="51" applyFont="1" applyBorder="1" applyAlignment="1" applyProtection="1"/>
    <xf numFmtId="49" fontId="21" fillId="11" borderId="12" xfId="51" applyNumberFormat="1" applyFont="1" applyFill="1" applyBorder="1" applyAlignment="1" applyProtection="1">
      <alignment horizontal="left" vertical="center"/>
    </xf>
    <xf numFmtId="0" fontId="22" fillId="11" borderId="47" xfId="51" applyFont="1" applyFill="1" applyBorder="1" applyAlignment="1" applyProtection="1">
      <alignment horizontal="center" vertical="center"/>
    </xf>
    <xf numFmtId="49" fontId="23" fillId="0" borderId="7" xfId="51" applyNumberFormat="1" applyFont="1" applyBorder="1" applyAlignment="1" applyProtection="1">
      <alignment horizontal="left" indent="1"/>
    </xf>
    <xf numFmtId="0" fontId="19" fillId="0" borderId="15" xfId="51" applyFont="1" applyBorder="1" applyAlignment="1" applyProtection="1">
      <alignment horizontal="center"/>
    </xf>
    <xf numFmtId="49" fontId="22" fillId="4" borderId="28" xfId="51" applyNumberFormat="1" applyFont="1" applyFill="1" applyBorder="1" applyAlignment="1" applyProtection="1">
      <alignment horizontal="left" vertical="center" wrapText="1" indent="2"/>
    </xf>
    <xf numFmtId="0" fontId="22" fillId="4" borderId="50" xfId="0" applyFont="1" applyFill="1" applyBorder="1" applyAlignment="1" applyProtection="1">
      <alignment horizontal="center" vertical="center"/>
    </xf>
    <xf numFmtId="49" fontId="21" fillId="11" borderId="14" xfId="51" applyNumberFormat="1" applyFont="1" applyFill="1" applyBorder="1" applyAlignment="1" applyProtection="1">
      <alignment horizontal="left" vertical="center"/>
    </xf>
    <xf numFmtId="0" fontId="22" fillId="11" borderId="20" xfId="51" applyFont="1" applyFill="1" applyBorder="1" applyAlignment="1" applyProtection="1">
      <alignment horizontal="center" vertical="center"/>
    </xf>
    <xf numFmtId="0" fontId="23" fillId="0" borderId="0" xfId="51" applyNumberFormat="1" applyFont="1" applyBorder="1" applyAlignment="1" applyProtection="1">
      <alignment horizontal="right" vertical="top"/>
    </xf>
    <xf numFmtId="49" fontId="23" fillId="0" borderId="14" xfId="51" applyNumberFormat="1" applyFont="1" applyBorder="1" applyAlignment="1" applyProtection="1">
      <alignment horizontal="left" indent="1"/>
    </xf>
    <xf numFmtId="0" fontId="19" fillId="0" borderId="3" xfId="51" applyFont="1" applyBorder="1" applyAlignment="1" applyProtection="1">
      <alignment horizontal="center"/>
    </xf>
    <xf numFmtId="49" fontId="23" fillId="0" borderId="12" xfId="51" applyNumberFormat="1" applyFont="1" applyBorder="1" applyAlignment="1" applyProtection="1">
      <alignment horizontal="left" vertical="center" indent="1"/>
    </xf>
    <xf numFmtId="0" fontId="19" fillId="0" borderId="8" xfId="51" applyFont="1" applyBorder="1" applyAlignment="1" applyProtection="1">
      <alignment horizontal="center" vertical="center"/>
    </xf>
    <xf numFmtId="0" fontId="23" fillId="0" borderId="0" xfId="51" applyNumberFormat="1" applyFont="1" applyBorder="1" applyAlignment="1" applyProtection="1">
      <alignment vertical="top"/>
    </xf>
    <xf numFmtId="0" fontId="20" fillId="0" borderId="0" xfId="51" applyNumberFormat="1" applyFont="1" applyAlignment="1" applyProtection="1">
      <alignment vertical="top"/>
    </xf>
    <xf numFmtId="0" fontId="19" fillId="0" borderId="4" xfId="51" applyFont="1" applyBorder="1" applyAlignment="1" applyProtection="1">
      <alignment horizontal="left" vertical="top"/>
    </xf>
    <xf numFmtId="0" fontId="19" fillId="0" borderId="2" xfId="51" applyFont="1" applyBorder="1" applyAlignment="1" applyProtection="1">
      <alignment vertical="top"/>
    </xf>
    <xf numFmtId="49" fontId="21" fillId="0" borderId="2" xfId="51" applyNumberFormat="1" applyFont="1" applyBorder="1" applyAlignment="1" applyProtection="1">
      <alignment horizontal="center"/>
    </xf>
    <xf numFmtId="49" fontId="21" fillId="0" borderId="2" xfId="2" applyNumberFormat="1" applyFont="1" applyBorder="1" applyAlignment="1" applyProtection="1">
      <alignment horizontal="center"/>
    </xf>
    <xf numFmtId="0" fontId="20" fillId="0" borderId="0" xfId="51" applyFont="1" applyAlignment="1" applyProtection="1">
      <alignment vertical="top"/>
    </xf>
    <xf numFmtId="0" fontId="23" fillId="0" borderId="0" xfId="51" applyNumberFormat="1" applyFont="1" applyProtection="1"/>
    <xf numFmtId="0" fontId="21" fillId="0" borderId="14" xfId="51" applyFont="1" applyBorder="1" applyAlignment="1" applyProtection="1">
      <alignment horizontal="center" vertical="top" wrapText="1"/>
    </xf>
    <xf numFmtId="49" fontId="21" fillId="0" borderId="3" xfId="51" applyNumberFormat="1" applyFont="1" applyBorder="1" applyAlignment="1" applyProtection="1">
      <alignment horizontal="center" vertical="top" wrapText="1"/>
    </xf>
    <xf numFmtId="49" fontId="21" fillId="0" borderId="3" xfId="2" applyNumberFormat="1" applyFont="1" applyBorder="1" applyAlignment="1" applyProtection="1">
      <alignment horizontal="center" vertical="top" wrapText="1"/>
    </xf>
    <xf numFmtId="0" fontId="20" fillId="0" borderId="0" xfId="51" applyNumberFormat="1" applyFont="1" applyBorder="1" applyAlignment="1" applyProtection="1">
      <alignment vertical="top"/>
    </xf>
    <xf numFmtId="49" fontId="21" fillId="10" borderId="7" xfId="51" applyNumberFormat="1" applyFont="1" applyFill="1" applyBorder="1" applyAlignment="1" applyProtection="1">
      <alignment horizontal="center" vertical="center"/>
    </xf>
    <xf numFmtId="49" fontId="22" fillId="10" borderId="25" xfId="51" applyNumberFormat="1" applyFont="1" applyFill="1" applyBorder="1" applyAlignment="1" applyProtection="1">
      <alignment horizontal="center" vertical="center"/>
    </xf>
    <xf numFmtId="49" fontId="21" fillId="11" borderId="14" xfId="51" applyNumberFormat="1" applyFont="1" applyFill="1" applyBorder="1" applyAlignment="1" applyProtection="1">
      <alignment horizontal="left" vertical="center" wrapText="1"/>
    </xf>
    <xf numFmtId="0" fontId="22" fillId="12" borderId="15" xfId="0" applyFont="1" applyFill="1" applyBorder="1" applyAlignment="1" applyProtection="1">
      <alignment horizontal="center" vertical="center" wrapText="1"/>
    </xf>
    <xf numFmtId="0" fontId="20" fillId="0" borderId="0" xfId="33" applyNumberFormat="1" applyFont="1" applyProtection="1"/>
    <xf numFmtId="38" fontId="23" fillId="4" borderId="104" xfId="0" applyNumberFormat="1" applyFont="1" applyFill="1" applyBorder="1" applyAlignment="1" applyProtection="1">
      <alignment horizontal="right"/>
    </xf>
    <xf numFmtId="0" fontId="20" fillId="0" borderId="0" xfId="33" applyFont="1" applyAlignment="1" applyProtection="1">
      <alignment vertical="center"/>
    </xf>
    <xf numFmtId="0" fontId="20" fillId="0" borderId="0" xfId="33" applyFont="1" applyAlignment="1" applyProtection="1"/>
    <xf numFmtId="3" fontId="20" fillId="0" borderId="0" xfId="33" applyNumberFormat="1" applyFont="1" applyAlignment="1" applyProtection="1"/>
    <xf numFmtId="0" fontId="21" fillId="2" borderId="0" xfId="33" applyFont="1" applyFill="1" applyAlignment="1" applyProtection="1">
      <alignment horizontal="left" vertical="center" indent="1"/>
    </xf>
    <xf numFmtId="0" fontId="21" fillId="2" borderId="14" xfId="48" applyNumberFormat="1" applyFont="1" applyFill="1" applyBorder="1" applyAlignment="1" applyProtection="1">
      <alignment horizontal="center" vertical="center"/>
    </xf>
    <xf numFmtId="49" fontId="22" fillId="4" borderId="19" xfId="48" applyNumberFormat="1" applyFont="1" applyFill="1" applyBorder="1" applyAlignment="1" applyProtection="1">
      <alignment horizontal="left" vertical="center" indent="3"/>
    </xf>
    <xf numFmtId="49" fontId="21" fillId="3" borderId="4" xfId="48" applyNumberFormat="1" applyFont="1" applyFill="1" applyBorder="1" applyAlignment="1" applyProtection="1">
      <alignment horizontal="left" vertical="center" indent="2"/>
    </xf>
    <xf numFmtId="49" fontId="22" fillId="4" borderId="4" xfId="48" applyNumberFormat="1" applyFont="1" applyFill="1" applyBorder="1" applyAlignment="1" applyProtection="1">
      <alignment horizontal="left" vertical="center" indent="2"/>
    </xf>
    <xf numFmtId="0" fontId="23" fillId="0" borderId="0" xfId="33" applyNumberFormat="1" applyFont="1" applyAlignment="1" applyProtection="1">
      <alignment horizontal="right" vertical="top" wrapText="1"/>
    </xf>
    <xf numFmtId="49" fontId="19" fillId="0" borderId="25" xfId="48" applyNumberFormat="1" applyFont="1" applyBorder="1" applyAlignment="1" applyProtection="1">
      <alignment horizontal="left" vertical="center" indent="2"/>
    </xf>
    <xf numFmtId="49" fontId="19" fillId="0" borderId="4" xfId="48" applyNumberFormat="1" applyFont="1" applyBorder="1" applyAlignment="1" applyProtection="1">
      <alignment horizontal="left" vertical="center" indent="2"/>
    </xf>
    <xf numFmtId="0" fontId="20" fillId="3" borderId="0" xfId="33" applyFont="1" applyFill="1" applyAlignment="1" applyProtection="1"/>
    <xf numFmtId="49" fontId="21" fillId="2" borderId="43" xfId="48" applyNumberFormat="1" applyFont="1" applyFill="1" applyBorder="1" applyAlignment="1" applyProtection="1">
      <alignment horizontal="left" vertical="center" indent="1"/>
    </xf>
    <xf numFmtId="49" fontId="21" fillId="3" borderId="43" xfId="48" applyNumberFormat="1" applyFont="1" applyFill="1" applyBorder="1" applyAlignment="1" applyProtection="1">
      <alignment horizontal="left" vertical="center" indent="2"/>
    </xf>
    <xf numFmtId="49" fontId="19" fillId="0" borderId="43" xfId="48" applyNumberFormat="1" applyFont="1" applyFill="1" applyBorder="1" applyAlignment="1" applyProtection="1">
      <alignment horizontal="left" vertical="center" indent="2"/>
    </xf>
    <xf numFmtId="0" fontId="19" fillId="0" borderId="15" xfId="48"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center" wrapText="1" indent="2"/>
    </xf>
    <xf numFmtId="0" fontId="22" fillId="4" borderId="19" xfId="48" applyNumberFormat="1" applyFont="1" applyFill="1" applyBorder="1" applyAlignment="1" applyProtection="1">
      <alignment horizontal="center" vertical="center"/>
    </xf>
    <xf numFmtId="49" fontId="21" fillId="2" borderId="43" xfId="48" applyNumberFormat="1" applyFont="1" applyFill="1" applyBorder="1" applyAlignment="1" applyProtection="1">
      <alignment horizontal="left" vertical="center"/>
    </xf>
    <xf numFmtId="0" fontId="21" fillId="2" borderId="61" xfId="48" applyNumberFormat="1" applyFont="1" applyFill="1" applyBorder="1" applyAlignment="1" applyProtection="1">
      <alignment horizontal="center" vertical="center"/>
    </xf>
    <xf numFmtId="0" fontId="20" fillId="20" borderId="0" xfId="33" applyFont="1" applyFill="1" applyProtection="1"/>
    <xf numFmtId="0" fontId="22" fillId="20" borderId="48" xfId="33" applyFont="1" applyFill="1" applyBorder="1" applyAlignment="1" applyProtection="1">
      <alignment horizontal="left" vertical="center" indent="3"/>
    </xf>
    <xf numFmtId="0" fontId="22" fillId="20" borderId="4" xfId="47" applyNumberFormat="1" applyFont="1" applyFill="1" applyBorder="1" applyAlignment="1" applyProtection="1">
      <alignment horizontal="center" vertical="center"/>
    </xf>
    <xf numFmtId="49" fontId="21" fillId="10" borderId="7" xfId="48" applyNumberFormat="1" applyFont="1" applyFill="1" applyBorder="1" applyAlignment="1" applyProtection="1">
      <alignment horizontal="left" vertical="center"/>
    </xf>
    <xf numFmtId="49" fontId="21" fillId="2" borderId="14" xfId="48" applyNumberFormat="1" applyFont="1" applyFill="1" applyBorder="1" applyAlignment="1" applyProtection="1">
      <alignment horizontal="center" vertical="center"/>
    </xf>
    <xf numFmtId="49" fontId="21" fillId="2" borderId="58" xfId="47" applyNumberFormat="1" applyFont="1" applyFill="1" applyBorder="1" applyAlignment="1" applyProtection="1">
      <alignment horizontal="left" vertical="center" indent="1"/>
    </xf>
    <xf numFmtId="0" fontId="21" fillId="2" borderId="10" xfId="47" applyNumberFormat="1" applyFont="1" applyFill="1" applyBorder="1" applyAlignment="1" applyProtection="1">
      <alignment horizontal="center" vertical="center"/>
    </xf>
    <xf numFmtId="49" fontId="22" fillId="4" borderId="19" xfId="47" applyNumberFormat="1" applyFont="1" applyFill="1" applyBorder="1" applyAlignment="1" applyProtection="1">
      <alignment horizontal="left" vertical="center" indent="3"/>
    </xf>
    <xf numFmtId="49" fontId="19" fillId="0" borderId="25" xfId="47" applyNumberFormat="1" applyFont="1" applyBorder="1" applyAlignment="1" applyProtection="1">
      <alignment horizontal="left" vertical="center" wrapText="1" indent="2"/>
    </xf>
    <xf numFmtId="0" fontId="19" fillId="0" borderId="7" xfId="47" applyNumberFormat="1" applyFont="1" applyBorder="1" applyAlignment="1" applyProtection="1">
      <alignment horizontal="center" vertical="center"/>
    </xf>
    <xf numFmtId="49" fontId="19" fillId="0" borderId="25" xfId="47" applyNumberFormat="1" applyFont="1" applyBorder="1" applyAlignment="1" applyProtection="1">
      <alignment horizontal="left" vertical="center" indent="2"/>
    </xf>
    <xf numFmtId="49" fontId="22" fillId="4" borderId="28" xfId="36" applyNumberFormat="1" applyFont="1" applyFill="1" applyBorder="1" applyAlignment="1" applyProtection="1">
      <alignment horizontal="left" vertical="center" wrapText="1" indent="3"/>
    </xf>
    <xf numFmtId="0" fontId="22" fillId="4" borderId="19" xfId="0" applyFont="1" applyFill="1" applyBorder="1" applyAlignment="1" applyProtection="1">
      <alignment horizontal="center" vertical="center" wrapText="1"/>
    </xf>
    <xf numFmtId="49" fontId="21" fillId="2" borderId="43" xfId="47" applyNumberFormat="1" applyFont="1" applyFill="1" applyBorder="1" applyAlignment="1" applyProtection="1">
      <alignment horizontal="left" vertical="center" indent="1"/>
    </xf>
    <xf numFmtId="0" fontId="21" fillId="2" borderId="20" xfId="47" applyNumberFormat="1" applyFont="1" applyFill="1" applyBorder="1" applyAlignment="1" applyProtection="1">
      <alignment horizontal="center" vertical="center"/>
    </xf>
    <xf numFmtId="49" fontId="21" fillId="3" borderId="25" xfId="47" applyNumberFormat="1" applyFont="1" applyFill="1" applyBorder="1" applyAlignment="1" applyProtection="1">
      <alignment horizontal="left" vertical="center" indent="2"/>
    </xf>
    <xf numFmtId="49" fontId="21" fillId="3" borderId="7" xfId="47" applyNumberFormat="1" applyFont="1" applyFill="1" applyBorder="1" applyAlignment="1" applyProtection="1">
      <alignment horizontal="center" vertical="center"/>
    </xf>
    <xf numFmtId="0" fontId="19" fillId="0" borderId="43" xfId="0" applyFont="1" applyFill="1" applyBorder="1" applyAlignment="1" applyProtection="1">
      <alignment horizontal="left" vertical="center" indent="2"/>
    </xf>
    <xf numFmtId="0" fontId="19" fillId="0" borderId="20" xfId="0" applyFont="1" applyFill="1" applyBorder="1" applyAlignment="1" applyProtection="1">
      <alignment horizontal="center" vertical="center" wrapText="1"/>
    </xf>
    <xf numFmtId="49" fontId="22" fillId="4" borderId="28" xfId="36" applyNumberFormat="1" applyFont="1" applyFill="1" applyBorder="1" applyAlignment="1" applyProtection="1">
      <alignment horizontal="left" vertical="center" indent="3"/>
    </xf>
    <xf numFmtId="0" fontId="22" fillId="4" borderId="19" xfId="0" applyFont="1" applyFill="1" applyBorder="1" applyAlignment="1" applyProtection="1">
      <alignment horizontal="center" vertical="center"/>
    </xf>
    <xf numFmtId="49" fontId="19" fillId="0" borderId="25" xfId="36" applyNumberFormat="1" applyFont="1" applyBorder="1" applyAlignment="1" applyProtection="1">
      <alignment horizontal="left" vertical="center" indent="2"/>
    </xf>
    <xf numFmtId="49" fontId="19" fillId="0" borderId="43" xfId="36" applyNumberFormat="1" applyFont="1" applyBorder="1" applyAlignment="1" applyProtection="1">
      <alignment horizontal="left" vertical="center" indent="2"/>
    </xf>
    <xf numFmtId="0" fontId="19" fillId="0" borderId="3" xfId="0" applyFont="1" applyBorder="1" applyAlignment="1" applyProtection="1">
      <alignment horizontal="center" vertical="center"/>
    </xf>
    <xf numFmtId="49" fontId="19" fillId="0" borderId="0" xfId="36" applyNumberFormat="1" applyFont="1" applyFill="1" applyBorder="1" applyAlignment="1" applyProtection="1">
      <alignment horizontal="left" vertical="center" wrapText="1" indent="2"/>
    </xf>
    <xf numFmtId="0" fontId="19" fillId="0" borderId="12" xfId="36" applyFont="1" applyFill="1" applyBorder="1" applyAlignment="1" applyProtection="1">
      <alignment horizontal="center" vertical="center"/>
    </xf>
    <xf numFmtId="49" fontId="19" fillId="0" borderId="4" xfId="36" applyNumberFormat="1" applyFont="1" applyFill="1" applyBorder="1" applyAlignment="1" applyProtection="1">
      <alignment horizontal="left" vertical="center" wrapText="1" indent="2"/>
    </xf>
    <xf numFmtId="0" fontId="19" fillId="0" borderId="2" xfId="36" applyFont="1" applyFill="1" applyBorder="1" applyAlignment="1" applyProtection="1">
      <alignment horizontal="center" vertical="center"/>
    </xf>
    <xf numFmtId="49" fontId="19" fillId="0" borderId="4" xfId="36" applyNumberFormat="1" applyFont="1" applyFill="1" applyBorder="1" applyAlignment="1" applyProtection="1">
      <alignment horizontal="left" vertical="center" indent="2"/>
    </xf>
    <xf numFmtId="0" fontId="19" fillId="0" borderId="15" xfId="36" applyFont="1" applyFill="1" applyBorder="1" applyAlignment="1" applyProtection="1">
      <alignment horizontal="center" vertical="center"/>
    </xf>
    <xf numFmtId="49" fontId="22" fillId="4" borderId="26" xfId="36" applyNumberFormat="1" applyFont="1" applyFill="1" applyBorder="1" applyAlignment="1" applyProtection="1">
      <alignment horizontal="left" vertical="center" indent="3"/>
    </xf>
    <xf numFmtId="49" fontId="19" fillId="0" borderId="25" xfId="35" applyNumberFormat="1" applyFont="1" applyBorder="1" applyAlignment="1" applyProtection="1">
      <alignment horizontal="left" vertical="center" indent="2"/>
    </xf>
    <xf numFmtId="0" fontId="19" fillId="0" borderId="7" xfId="35" applyFont="1" applyBorder="1" applyAlignment="1" applyProtection="1">
      <alignment horizontal="center" vertical="center"/>
    </xf>
    <xf numFmtId="49" fontId="19" fillId="0" borderId="25" xfId="0" applyNumberFormat="1" applyFont="1" applyBorder="1" applyAlignment="1" applyProtection="1">
      <alignment horizontal="left" vertical="center" indent="2"/>
    </xf>
    <xf numFmtId="0" fontId="19" fillId="0" borderId="7" xfId="36" applyFont="1" applyBorder="1" applyAlignment="1" applyProtection="1">
      <alignment horizontal="center" vertical="center"/>
    </xf>
    <xf numFmtId="49" fontId="19" fillId="0" borderId="25" xfId="36" applyNumberFormat="1" applyFont="1" applyBorder="1" applyAlignment="1" applyProtection="1">
      <alignment horizontal="left" vertical="top" indent="2"/>
    </xf>
    <xf numFmtId="0" fontId="22" fillId="2" borderId="0" xfId="33" applyFont="1" applyFill="1" applyAlignment="1" applyProtection="1">
      <alignment horizontal="left" vertical="center" indent="1"/>
    </xf>
    <xf numFmtId="0" fontId="22" fillId="2" borderId="7" xfId="35" applyFont="1" applyFill="1" applyBorder="1" applyAlignment="1" applyProtection="1">
      <alignment horizontal="center" vertical="center"/>
    </xf>
    <xf numFmtId="49" fontId="21" fillId="3" borderId="25" xfId="35" applyNumberFormat="1" applyFont="1" applyFill="1" applyBorder="1" applyAlignment="1" applyProtection="1">
      <alignment horizontal="left" vertical="center" indent="2"/>
    </xf>
    <xf numFmtId="0" fontId="23" fillId="3" borderId="16" xfId="35" applyFont="1" applyFill="1" applyBorder="1" applyAlignment="1" applyProtection="1">
      <alignment horizontal="center" vertical="center"/>
    </xf>
    <xf numFmtId="165" fontId="21" fillId="2" borderId="43" xfId="0" applyNumberFormat="1" applyFont="1" applyFill="1" applyBorder="1" applyAlignment="1" applyProtection="1">
      <alignment horizontal="left" vertical="center" indent="1"/>
    </xf>
    <xf numFmtId="0" fontId="21" fillId="2" borderId="14" xfId="35" applyFont="1" applyFill="1" applyBorder="1" applyAlignment="1" applyProtection="1">
      <alignment horizontal="center" vertical="center"/>
    </xf>
    <xf numFmtId="49" fontId="22" fillId="4" borderId="26" xfId="35" applyNumberFormat="1" applyFont="1" applyFill="1" applyBorder="1" applyAlignment="1" applyProtection="1">
      <alignment horizontal="left" vertical="center" indent="3"/>
    </xf>
    <xf numFmtId="49" fontId="21" fillId="3" borderId="43" xfId="35" applyNumberFormat="1" applyFont="1" applyFill="1" applyBorder="1" applyAlignment="1" applyProtection="1">
      <alignment horizontal="left" vertical="center" indent="2"/>
    </xf>
    <xf numFmtId="0" fontId="21" fillId="3" borderId="14" xfId="35" applyFont="1" applyFill="1" applyBorder="1" applyAlignment="1" applyProtection="1">
      <alignment horizontal="center" vertical="center"/>
    </xf>
    <xf numFmtId="0" fontId="22" fillId="4" borderId="19" xfId="35" applyFont="1" applyFill="1" applyBorder="1" applyAlignment="1" applyProtection="1">
      <alignment horizontal="center" vertical="center"/>
    </xf>
    <xf numFmtId="0" fontId="21" fillId="3" borderId="0" xfId="33" applyFont="1" applyFill="1" applyAlignment="1" applyProtection="1">
      <alignment horizontal="left" vertical="center" indent="2"/>
    </xf>
    <xf numFmtId="49" fontId="21" fillId="3" borderId="61" xfId="35" applyNumberFormat="1" applyFont="1" applyFill="1" applyBorder="1" applyAlignment="1" applyProtection="1">
      <alignment horizontal="center" vertical="center"/>
    </xf>
    <xf numFmtId="49" fontId="22" fillId="4" borderId="26" xfId="34" applyNumberFormat="1" applyFont="1" applyFill="1" applyBorder="1" applyAlignment="1" applyProtection="1">
      <alignment horizontal="left" vertical="center" indent="3"/>
    </xf>
    <xf numFmtId="49" fontId="21" fillId="3" borderId="43" xfId="34" applyNumberFormat="1" applyFont="1" applyFill="1" applyBorder="1" applyAlignment="1" applyProtection="1">
      <alignment horizontal="left" vertical="center" indent="2"/>
    </xf>
    <xf numFmtId="49" fontId="19" fillId="0" borderId="25" xfId="34" applyNumberFormat="1" applyFont="1" applyBorder="1" applyAlignment="1" applyProtection="1">
      <alignment horizontal="left" vertical="center" indent="2"/>
    </xf>
    <xf numFmtId="0" fontId="19" fillId="0" borderId="7" xfId="34" applyFont="1" applyBorder="1" applyAlignment="1" applyProtection="1">
      <alignment horizontal="center" vertical="center"/>
    </xf>
    <xf numFmtId="49" fontId="19" fillId="0" borderId="25" xfId="34" applyNumberFormat="1" applyFont="1" applyBorder="1" applyAlignment="1" applyProtection="1">
      <alignment horizontal="left" vertical="top" indent="2"/>
    </xf>
    <xf numFmtId="0" fontId="21" fillId="3" borderId="61" xfId="34" applyFont="1" applyFill="1" applyBorder="1" applyAlignment="1" applyProtection="1">
      <alignment horizontal="center" vertical="center"/>
    </xf>
    <xf numFmtId="0" fontId="23" fillId="0" borderId="0" xfId="33" applyFont="1" applyProtection="1"/>
    <xf numFmtId="0" fontId="19" fillId="0" borderId="46" xfId="33" applyFont="1" applyFill="1" applyBorder="1" applyAlignment="1" applyProtection="1">
      <alignment horizontal="left" vertical="top" indent="2"/>
    </xf>
    <xf numFmtId="49" fontId="19" fillId="0" borderId="25" xfId="34" applyNumberFormat="1" applyFont="1" applyFill="1" applyBorder="1" applyAlignment="1" applyProtection="1">
      <alignment horizontal="left" vertical="center" indent="2"/>
    </xf>
    <xf numFmtId="0" fontId="21" fillId="3" borderId="47" xfId="34" applyFont="1" applyFill="1" applyBorder="1" applyAlignment="1" applyProtection="1">
      <alignment horizontal="center" vertical="center"/>
    </xf>
    <xf numFmtId="49" fontId="19" fillId="0" borderId="64" xfId="33" applyNumberFormat="1" applyFont="1" applyBorder="1" applyAlignment="1" applyProtection="1">
      <alignment horizontal="left" vertical="center" indent="2"/>
    </xf>
    <xf numFmtId="0" fontId="19" fillId="0" borderId="5" xfId="33" applyFont="1" applyBorder="1" applyAlignment="1" applyProtection="1">
      <alignment horizontal="center" vertical="center"/>
    </xf>
    <xf numFmtId="49" fontId="19" fillId="0" borderId="65" xfId="33" applyNumberFormat="1" applyFont="1" applyBorder="1" applyAlignment="1" applyProtection="1">
      <alignment horizontal="left" vertical="center" indent="2"/>
    </xf>
    <xf numFmtId="49" fontId="19" fillId="0" borderId="66" xfId="0" applyNumberFormat="1" applyFont="1" applyBorder="1" applyAlignment="1" applyProtection="1">
      <alignment horizontal="left" vertical="center" indent="2"/>
    </xf>
    <xf numFmtId="49" fontId="19" fillId="0" borderId="0" xfId="34" applyNumberFormat="1" applyFont="1" applyBorder="1" applyAlignment="1" applyProtection="1">
      <alignment horizontal="left" vertical="center" indent="2"/>
    </xf>
    <xf numFmtId="0" fontId="19" fillId="0" borderId="6" xfId="34" applyFont="1" applyBorder="1" applyAlignment="1" applyProtection="1">
      <alignment horizontal="center" vertical="center"/>
    </xf>
    <xf numFmtId="49" fontId="22" fillId="4" borderId="26" xfId="33" applyNumberFormat="1" applyFont="1" applyFill="1" applyBorder="1" applyAlignment="1" applyProtection="1">
      <alignment horizontal="left" vertical="center" wrapText="1" indent="3"/>
    </xf>
    <xf numFmtId="0" fontId="22" fillId="4" borderId="19" xfId="33" applyFont="1" applyFill="1" applyBorder="1" applyAlignment="1" applyProtection="1">
      <alignment horizontal="center" vertical="center"/>
    </xf>
    <xf numFmtId="49" fontId="21" fillId="2" borderId="64" xfId="33" applyNumberFormat="1" applyFont="1" applyFill="1" applyBorder="1" applyAlignment="1" applyProtection="1">
      <alignment horizontal="left" vertical="center" indent="1"/>
    </xf>
    <xf numFmtId="0" fontId="21" fillId="2" borderId="96" xfId="33" applyFont="1" applyFill="1" applyBorder="1" applyAlignment="1" applyProtection="1">
      <alignment horizontal="center" vertical="center"/>
    </xf>
    <xf numFmtId="49" fontId="21" fillId="3" borderId="65" xfId="33" applyNumberFormat="1" applyFont="1" applyFill="1" applyBorder="1" applyAlignment="1" applyProtection="1">
      <alignment horizontal="left" vertical="center" indent="2"/>
    </xf>
    <xf numFmtId="0" fontId="21" fillId="3" borderId="59" xfId="33" applyFont="1" applyFill="1" applyBorder="1" applyAlignment="1" applyProtection="1">
      <alignment horizontal="center" vertical="center"/>
    </xf>
    <xf numFmtId="38" fontId="20" fillId="0" borderId="0" xfId="33" applyNumberFormat="1" applyFont="1" applyProtection="1"/>
    <xf numFmtId="49" fontId="19" fillId="0" borderId="65" xfId="33" applyNumberFormat="1" applyFont="1" applyBorder="1" applyAlignment="1" applyProtection="1">
      <alignment horizontal="left" vertical="center" wrapText="1" indent="2"/>
    </xf>
    <xf numFmtId="0" fontId="19" fillId="0" borderId="52" xfId="33" applyFont="1" applyBorder="1" applyAlignment="1" applyProtection="1">
      <alignment horizontal="center" vertical="center"/>
    </xf>
    <xf numFmtId="49" fontId="19" fillId="0" borderId="55" xfId="33" applyNumberFormat="1" applyFont="1" applyBorder="1" applyAlignment="1" applyProtection="1">
      <alignment horizontal="left" vertical="center" wrapText="1" indent="2"/>
    </xf>
    <xf numFmtId="0" fontId="19" fillId="0" borderId="60" xfId="33" applyFont="1" applyBorder="1" applyAlignment="1" applyProtection="1">
      <alignment horizontal="center" vertical="center"/>
    </xf>
    <xf numFmtId="49" fontId="19" fillId="0" borderId="64" xfId="33" applyNumberFormat="1" applyFont="1" applyBorder="1" applyAlignment="1" applyProtection="1">
      <alignment horizontal="left" vertical="center" wrapText="1" indent="2"/>
    </xf>
    <xf numFmtId="0" fontId="19" fillId="0" borderId="74" xfId="33" applyFont="1" applyBorder="1" applyAlignment="1" applyProtection="1">
      <alignment horizontal="center" vertical="center"/>
    </xf>
    <xf numFmtId="49" fontId="22" fillId="4" borderId="28" xfId="46" applyNumberFormat="1" applyFont="1" applyFill="1" applyBorder="1" applyAlignment="1" applyProtection="1">
      <alignment horizontal="left" vertical="center" wrapText="1" indent="3"/>
    </xf>
    <xf numFmtId="3" fontId="22" fillId="0" borderId="14" xfId="0" applyNumberFormat="1" applyFont="1" applyBorder="1" applyAlignment="1" applyProtection="1">
      <alignment horizontal="left" vertical="top" indent="3"/>
    </xf>
    <xf numFmtId="38" fontId="23" fillId="3" borderId="47" xfId="46" applyNumberFormat="1" applyFont="1" applyFill="1" applyBorder="1" applyAlignment="1" applyProtection="1">
      <alignment horizontal="right"/>
    </xf>
    <xf numFmtId="3" fontId="22" fillId="0" borderId="0" xfId="0" applyNumberFormat="1" applyFont="1" applyFill="1" applyBorder="1" applyAlignment="1" applyProtection="1">
      <alignment horizontal="left" vertical="top" wrapText="1" indent="3"/>
    </xf>
    <xf numFmtId="3" fontId="21" fillId="10" borderId="7" xfId="0" applyNumberFormat="1" applyFont="1" applyFill="1" applyBorder="1" applyAlignment="1" applyProtection="1">
      <alignment horizontal="left" vertical="center" wrapText="1"/>
    </xf>
    <xf numFmtId="3" fontId="21" fillId="10" borderId="7" xfId="0" applyNumberFormat="1" applyFont="1" applyFill="1" applyBorder="1" applyAlignment="1" applyProtection="1">
      <alignment vertical="center" wrapText="1"/>
    </xf>
    <xf numFmtId="49" fontId="21" fillId="2" borderId="7" xfId="33" applyNumberFormat="1" applyFont="1" applyFill="1" applyBorder="1" applyAlignment="1" applyProtection="1">
      <alignment horizontal="left" vertical="center" indent="1"/>
    </xf>
    <xf numFmtId="49" fontId="21" fillId="2" borderId="15" xfId="33" applyNumberFormat="1" applyFont="1" applyFill="1" applyBorder="1" applyAlignment="1" applyProtection="1">
      <alignment horizontal="center" vertical="center"/>
    </xf>
    <xf numFmtId="49" fontId="21" fillId="2" borderId="43" xfId="46" applyNumberFormat="1" applyFont="1" applyFill="1" applyBorder="1" applyAlignment="1" applyProtection="1">
      <alignment horizontal="left" vertical="center" indent="1"/>
    </xf>
    <xf numFmtId="0" fontId="21" fillId="2" borderId="14" xfId="46" applyNumberFormat="1" applyFont="1" applyFill="1" applyBorder="1" applyAlignment="1" applyProtection="1">
      <alignment horizontal="center" vertical="center"/>
    </xf>
    <xf numFmtId="49" fontId="22" fillId="4" borderId="24" xfId="46" applyNumberFormat="1" applyFont="1" applyFill="1" applyBorder="1" applyAlignment="1" applyProtection="1">
      <alignment horizontal="left" vertical="center" indent="3"/>
    </xf>
    <xf numFmtId="0" fontId="22" fillId="4" borderId="10" xfId="0" applyFont="1" applyFill="1" applyBorder="1" applyAlignment="1" applyProtection="1">
      <alignment horizontal="center" vertical="center"/>
    </xf>
    <xf numFmtId="0" fontId="47" fillId="0" borderId="0" xfId="33" applyFont="1" applyProtection="1"/>
    <xf numFmtId="49" fontId="19" fillId="0" borderId="25" xfId="46" applyNumberFormat="1" applyFont="1" applyFill="1" applyBorder="1" applyAlignment="1" applyProtection="1">
      <alignment horizontal="left" vertical="center" indent="2"/>
    </xf>
    <xf numFmtId="0" fontId="19" fillId="0" borderId="7" xfId="46" applyNumberFormat="1" applyFont="1" applyFill="1" applyBorder="1" applyAlignment="1" applyProtection="1">
      <alignment horizontal="center" vertical="center"/>
    </xf>
    <xf numFmtId="49" fontId="19" fillId="0" borderId="25" xfId="46" applyNumberFormat="1" applyFont="1" applyBorder="1" applyAlignment="1" applyProtection="1">
      <alignment horizontal="left" vertical="center" indent="2"/>
    </xf>
    <xf numFmtId="0" fontId="19" fillId="0" borderId="7" xfId="46" applyNumberFormat="1" applyFont="1" applyBorder="1" applyAlignment="1" applyProtection="1">
      <alignment horizontal="center" vertical="center"/>
    </xf>
    <xf numFmtId="49" fontId="22" fillId="4" borderId="19" xfId="46" applyNumberFormat="1" applyFont="1" applyFill="1" applyBorder="1" applyAlignment="1" applyProtection="1">
      <alignment horizontal="left" vertical="center" indent="3"/>
    </xf>
    <xf numFmtId="0" fontId="22" fillId="4" borderId="19" xfId="46" applyNumberFormat="1" applyFont="1" applyFill="1" applyBorder="1" applyAlignment="1" applyProtection="1">
      <alignment horizontal="center" vertical="center"/>
    </xf>
    <xf numFmtId="49" fontId="21" fillId="2" borderId="43" xfId="46" applyNumberFormat="1" applyFont="1" applyFill="1" applyBorder="1" applyAlignment="1" applyProtection="1">
      <alignment horizontal="left" vertical="center"/>
    </xf>
    <xf numFmtId="0" fontId="21" fillId="2" borderId="20" xfId="46" applyNumberFormat="1" applyFont="1" applyFill="1" applyBorder="1" applyAlignment="1" applyProtection="1">
      <alignment horizontal="center" vertical="center"/>
    </xf>
    <xf numFmtId="0" fontId="22" fillId="3" borderId="7" xfId="33" applyFont="1" applyFill="1" applyBorder="1" applyAlignment="1" applyProtection="1">
      <alignment horizontal="left" vertical="center" indent="2"/>
    </xf>
    <xf numFmtId="0" fontId="21" fillId="3" borderId="14" xfId="44" applyFont="1" applyFill="1" applyBorder="1" applyAlignment="1" applyProtection="1">
      <alignment horizontal="center" vertical="center"/>
    </xf>
    <xf numFmtId="3" fontId="22" fillId="0" borderId="0" xfId="0" applyNumberFormat="1" applyFont="1" applyFill="1" applyBorder="1" applyAlignment="1" applyProtection="1">
      <alignment horizontal="left" vertical="top" wrapText="1" indent="4"/>
    </xf>
    <xf numFmtId="49" fontId="21" fillId="10" borderId="7" xfId="46" applyNumberFormat="1" applyFont="1" applyFill="1" applyBorder="1" applyAlignment="1" applyProtection="1">
      <alignment horizontal="left" vertical="center"/>
    </xf>
    <xf numFmtId="49" fontId="21" fillId="2" borderId="3" xfId="46" applyNumberFormat="1" applyFont="1" applyFill="1" applyBorder="1" applyAlignment="1" applyProtection="1">
      <alignment horizontal="center" vertical="center"/>
    </xf>
    <xf numFmtId="49" fontId="21" fillId="3" borderId="43" xfId="46" applyNumberFormat="1" applyFont="1" applyFill="1" applyBorder="1" applyAlignment="1" applyProtection="1">
      <alignment horizontal="left" vertical="center" indent="2"/>
    </xf>
    <xf numFmtId="0" fontId="21" fillId="3" borderId="15" xfId="46" applyNumberFormat="1" applyFont="1" applyFill="1" applyBorder="1" applyAlignment="1" applyProtection="1">
      <alignment horizontal="center" vertical="center"/>
    </xf>
    <xf numFmtId="49" fontId="21" fillId="2" borderId="43" xfId="45" applyNumberFormat="1" applyFont="1" applyFill="1" applyBorder="1" applyAlignment="1" applyProtection="1">
      <alignment horizontal="left" vertical="center" indent="1"/>
    </xf>
    <xf numFmtId="0" fontId="21" fillId="2" borderId="14" xfId="45" applyFont="1" applyFill="1" applyBorder="1" applyAlignment="1" applyProtection="1">
      <alignment horizontal="center" vertical="center"/>
    </xf>
    <xf numFmtId="49" fontId="22" fillId="4" borderId="19" xfId="45" applyNumberFormat="1" applyFont="1" applyFill="1" applyBorder="1" applyAlignment="1" applyProtection="1">
      <alignment horizontal="left" vertical="center" indent="4"/>
    </xf>
    <xf numFmtId="49" fontId="19" fillId="0" borderId="25" xfId="45" applyNumberFormat="1" applyFont="1" applyBorder="1" applyAlignment="1" applyProtection="1">
      <alignment horizontal="left" vertical="center" indent="3"/>
    </xf>
    <xf numFmtId="0" fontId="19" fillId="0" borderId="7" xfId="45" applyFont="1" applyBorder="1" applyAlignment="1" applyProtection="1">
      <alignment horizontal="center" vertical="center"/>
    </xf>
    <xf numFmtId="49" fontId="19" fillId="0" borderId="7" xfId="45" applyNumberFormat="1" applyFont="1" applyBorder="1" applyAlignment="1" applyProtection="1">
      <alignment horizontal="center" vertical="center"/>
    </xf>
    <xf numFmtId="49" fontId="19" fillId="0" borderId="25" xfId="45" applyNumberFormat="1" applyFont="1" applyBorder="1" applyAlignment="1" applyProtection="1">
      <alignment horizontal="left" vertical="center" wrapText="1" indent="3"/>
    </xf>
    <xf numFmtId="49" fontId="22" fillId="4" borderId="19" xfId="45" applyNumberFormat="1" applyFont="1" applyFill="1" applyBorder="1" applyAlignment="1" applyProtection="1">
      <alignment horizontal="left" vertical="center" indent="3"/>
    </xf>
    <xf numFmtId="38" fontId="23" fillId="3" borderId="12" xfId="45" applyNumberFormat="1" applyFont="1" applyFill="1" applyBorder="1" applyAlignment="1" applyProtection="1">
      <alignment horizontal="right"/>
    </xf>
    <xf numFmtId="0" fontId="21" fillId="2" borderId="20" xfId="45" applyFont="1" applyFill="1" applyBorder="1" applyAlignment="1" applyProtection="1">
      <alignment horizontal="center" vertical="center"/>
    </xf>
    <xf numFmtId="38" fontId="23" fillId="11" borderId="15" xfId="45" applyNumberFormat="1" applyFont="1" applyFill="1" applyBorder="1" applyAlignment="1" applyProtection="1">
      <alignment horizontal="right"/>
    </xf>
    <xf numFmtId="38" fontId="23" fillId="11" borderId="43" xfId="45" applyNumberFormat="1" applyFont="1" applyFill="1" applyBorder="1" applyAlignment="1" applyProtection="1">
      <alignment horizontal="right"/>
    </xf>
    <xf numFmtId="49" fontId="21" fillId="3" borderId="25" xfId="45" applyNumberFormat="1" applyFont="1" applyFill="1" applyBorder="1" applyAlignment="1" applyProtection="1">
      <alignment horizontal="left" vertical="center" indent="3"/>
    </xf>
    <xf numFmtId="0" fontId="21" fillId="3" borderId="16" xfId="45" applyFont="1" applyFill="1" applyBorder="1" applyAlignment="1" applyProtection="1">
      <alignment horizontal="center" vertical="center"/>
    </xf>
    <xf numFmtId="49" fontId="19" fillId="0" borderId="25" xfId="45" applyNumberFormat="1" applyFont="1" applyFill="1" applyBorder="1" applyAlignment="1" applyProtection="1">
      <alignment horizontal="left" vertical="center" indent="2"/>
    </xf>
    <xf numFmtId="0" fontId="19" fillId="0" borderId="7" xfId="45" applyFont="1" applyFill="1" applyBorder="1" applyAlignment="1" applyProtection="1">
      <alignment horizontal="center" vertical="center"/>
    </xf>
    <xf numFmtId="49" fontId="19" fillId="0" borderId="25" xfId="45" applyNumberFormat="1" applyFont="1" applyBorder="1" applyAlignment="1" applyProtection="1">
      <alignment horizontal="left" vertical="center" indent="2"/>
    </xf>
    <xf numFmtId="49" fontId="21" fillId="2" borderId="25" xfId="45" applyNumberFormat="1" applyFont="1" applyFill="1" applyBorder="1" applyAlignment="1" applyProtection="1">
      <alignment horizontal="left" vertical="center" indent="1"/>
    </xf>
    <xf numFmtId="0" fontId="21" fillId="2" borderId="15" xfId="45" applyFont="1" applyFill="1" applyBorder="1" applyAlignment="1" applyProtection="1">
      <alignment horizontal="center" vertical="center"/>
    </xf>
    <xf numFmtId="38" fontId="23" fillId="11" borderId="7" xfId="45" applyNumberFormat="1" applyFont="1" applyFill="1" applyBorder="1" applyAlignment="1" applyProtection="1">
      <alignment horizontal="right"/>
    </xf>
    <xf numFmtId="49" fontId="21" fillId="2" borderId="14" xfId="45" applyNumberFormat="1" applyFont="1" applyFill="1" applyBorder="1" applyAlignment="1" applyProtection="1">
      <alignment horizontal="center" vertical="center"/>
    </xf>
    <xf numFmtId="49" fontId="22" fillId="4" borderId="19" xfId="44" applyNumberFormat="1" applyFont="1" applyFill="1" applyBorder="1" applyAlignment="1" applyProtection="1">
      <alignment horizontal="left" vertical="center" wrapText="1" indent="3"/>
    </xf>
    <xf numFmtId="49" fontId="21" fillId="3" borderId="43" xfId="44" applyNumberFormat="1" applyFont="1" applyFill="1" applyBorder="1" applyAlignment="1" applyProtection="1">
      <alignment horizontal="left" vertical="center" indent="2"/>
    </xf>
    <xf numFmtId="49" fontId="22" fillId="4" borderId="19" xfId="44" applyNumberFormat="1" applyFont="1" applyFill="1" applyBorder="1" applyAlignment="1" applyProtection="1">
      <alignment horizontal="left" vertical="center" indent="3"/>
    </xf>
    <xf numFmtId="0" fontId="22" fillId="4" borderId="19" xfId="44" applyFont="1" applyFill="1" applyBorder="1" applyAlignment="1" applyProtection="1">
      <alignment horizontal="center" vertical="center"/>
    </xf>
    <xf numFmtId="49" fontId="19" fillId="0" borderId="25" xfId="44" applyNumberFormat="1" applyFont="1" applyBorder="1" applyAlignment="1" applyProtection="1">
      <alignment horizontal="left" vertical="center" indent="2"/>
    </xf>
    <xf numFmtId="0" fontId="19" fillId="0" borderId="7" xfId="44" applyFont="1" applyBorder="1" applyAlignment="1" applyProtection="1">
      <alignment horizontal="center" vertical="center"/>
    </xf>
    <xf numFmtId="0" fontId="19" fillId="0" borderId="25" xfId="44" applyFont="1" applyBorder="1" applyAlignment="1" applyProtection="1">
      <alignment horizontal="left" vertical="center" indent="2"/>
    </xf>
    <xf numFmtId="0" fontId="21" fillId="3" borderId="43" xfId="44" applyFont="1" applyFill="1" applyBorder="1" applyAlignment="1" applyProtection="1">
      <alignment horizontal="left" vertical="center" indent="2"/>
    </xf>
    <xf numFmtId="49" fontId="19" fillId="0" borderId="25" xfId="43" applyNumberFormat="1" applyFont="1" applyBorder="1" applyAlignment="1" applyProtection="1">
      <alignment horizontal="left" vertical="center" indent="2"/>
    </xf>
    <xf numFmtId="0" fontId="19" fillId="0" borderId="7" xfId="43" applyFont="1" applyBorder="1" applyAlignment="1" applyProtection="1">
      <alignment horizontal="center" vertical="center"/>
    </xf>
    <xf numFmtId="49" fontId="19" fillId="0" borderId="7" xfId="44" applyNumberFormat="1" applyFont="1" applyBorder="1" applyAlignment="1" applyProtection="1">
      <alignment horizontal="center" vertical="center"/>
    </xf>
    <xf numFmtId="49" fontId="22" fillId="4" borderId="19" xfId="43" applyNumberFormat="1" applyFont="1" applyFill="1" applyBorder="1" applyAlignment="1" applyProtection="1">
      <alignment horizontal="left" vertical="center" indent="3"/>
    </xf>
    <xf numFmtId="49" fontId="21" fillId="3" borderId="43" xfId="43" applyNumberFormat="1" applyFont="1" applyFill="1" applyBorder="1" applyAlignment="1" applyProtection="1">
      <alignment horizontal="left" vertical="center" indent="2"/>
    </xf>
    <xf numFmtId="0" fontId="21" fillId="3" borderId="14" xfId="43" applyFont="1" applyFill="1" applyBorder="1" applyAlignment="1" applyProtection="1">
      <alignment horizontal="center" vertical="center"/>
    </xf>
    <xf numFmtId="38" fontId="23" fillId="3" borderId="3" xfId="43" applyNumberFormat="1" applyFont="1" applyFill="1" applyBorder="1" applyAlignment="1" applyProtection="1">
      <alignment horizontal="right"/>
    </xf>
    <xf numFmtId="49" fontId="19" fillId="0" borderId="4" xfId="43" applyNumberFormat="1" applyFont="1" applyBorder="1" applyAlignment="1" applyProtection="1">
      <alignment horizontal="left" vertical="center" indent="2"/>
    </xf>
    <xf numFmtId="0" fontId="19" fillId="0" borderId="2" xfId="43" applyFont="1" applyBorder="1" applyAlignment="1" applyProtection="1">
      <alignment horizontal="center" vertical="center"/>
    </xf>
    <xf numFmtId="49" fontId="22" fillId="4" borderId="28" xfId="43" applyNumberFormat="1" applyFont="1" applyFill="1" applyBorder="1" applyAlignment="1" applyProtection="1">
      <alignment horizontal="left" vertical="center" indent="3"/>
    </xf>
    <xf numFmtId="38" fontId="23" fillId="3" borderId="20" xfId="43" applyNumberFormat="1" applyFont="1" applyFill="1" applyBorder="1" applyAlignment="1" applyProtection="1">
      <alignment horizontal="right"/>
    </xf>
    <xf numFmtId="0" fontId="19" fillId="0" borderId="25" xfId="43" applyFont="1" applyBorder="1" applyAlignment="1" applyProtection="1">
      <alignment horizontal="left" vertical="center" indent="2"/>
    </xf>
    <xf numFmtId="49" fontId="19" fillId="0" borderId="16" xfId="43" applyNumberFormat="1" applyFont="1" applyBorder="1" applyAlignment="1" applyProtection="1">
      <alignment horizontal="left" vertical="center" indent="2"/>
    </xf>
    <xf numFmtId="49" fontId="22" fillId="4" borderId="28" xfId="42" applyNumberFormat="1" applyFont="1" applyFill="1" applyBorder="1" applyAlignment="1" applyProtection="1">
      <alignment horizontal="left" vertical="center" indent="3"/>
    </xf>
    <xf numFmtId="49" fontId="21" fillId="3" borderId="14" xfId="0" applyNumberFormat="1" applyFont="1" applyFill="1" applyBorder="1" applyAlignment="1" applyProtection="1">
      <alignment horizontal="center" vertical="center"/>
    </xf>
    <xf numFmtId="49" fontId="19" fillId="0" borderId="25" xfId="42" applyNumberFormat="1" applyFont="1" applyBorder="1" applyAlignment="1" applyProtection="1">
      <alignment horizontal="left" vertical="center" indent="2"/>
    </xf>
    <xf numFmtId="0" fontId="19" fillId="0" borderId="7" xfId="42" applyFont="1" applyBorder="1" applyAlignment="1" applyProtection="1">
      <alignment horizontal="center" vertical="center"/>
    </xf>
    <xf numFmtId="49" fontId="21" fillId="2" borderId="43" xfId="42" applyNumberFormat="1" applyFont="1" applyFill="1" applyBorder="1" applyAlignment="1" applyProtection="1">
      <alignment horizontal="left" vertical="center" indent="1"/>
    </xf>
    <xf numFmtId="0" fontId="21" fillId="2" borderId="21" xfId="42" applyFont="1" applyFill="1" applyBorder="1" applyAlignment="1" applyProtection="1">
      <alignment horizontal="center" vertical="center"/>
    </xf>
    <xf numFmtId="49" fontId="21" fillId="3" borderId="25" xfId="42" applyNumberFormat="1" applyFont="1" applyFill="1" applyBorder="1" applyAlignment="1" applyProtection="1">
      <alignment horizontal="left" vertical="center" indent="2"/>
    </xf>
    <xf numFmtId="0" fontId="21" fillId="3" borderId="16" xfId="42" applyFont="1" applyFill="1" applyBorder="1" applyAlignment="1" applyProtection="1">
      <alignment horizontal="center" vertical="center"/>
    </xf>
    <xf numFmtId="49" fontId="19" fillId="0" borderId="25" xfId="42" applyNumberFormat="1" applyFont="1" applyBorder="1" applyAlignment="1" applyProtection="1">
      <alignment horizontal="left" vertical="center" wrapText="1" indent="2"/>
    </xf>
    <xf numFmtId="49" fontId="22" fillId="0" borderId="21" xfId="41" applyNumberFormat="1" applyFont="1" applyBorder="1" applyAlignment="1" applyProtection="1">
      <alignment horizontal="left" vertical="center" indent="3"/>
    </xf>
    <xf numFmtId="49" fontId="22" fillId="0" borderId="0" xfId="41" applyNumberFormat="1" applyFont="1" applyFill="1" applyBorder="1" applyAlignment="1" applyProtection="1">
      <alignment horizontal="left" vertical="top" wrapText="1" indent="3"/>
    </xf>
    <xf numFmtId="49" fontId="21" fillId="10" borderId="7" xfId="42" applyNumberFormat="1" applyFont="1" applyFill="1" applyBorder="1" applyAlignment="1" applyProtection="1">
      <alignment horizontal="left" vertical="center"/>
    </xf>
    <xf numFmtId="49" fontId="23" fillId="10" borderId="25" xfId="0" applyNumberFormat="1" applyFont="1" applyFill="1" applyBorder="1" applyAlignment="1" applyProtection="1">
      <alignment vertical="center"/>
    </xf>
    <xf numFmtId="38" fontId="23" fillId="10" borderId="7" xfId="42" applyNumberFormat="1" applyFont="1" applyFill="1" applyBorder="1" applyAlignment="1" applyProtection="1">
      <alignment horizontal="right"/>
    </xf>
    <xf numFmtId="49" fontId="21" fillId="2" borderId="3" xfId="42" applyNumberFormat="1" applyFont="1" applyFill="1" applyBorder="1" applyAlignment="1" applyProtection="1">
      <alignment horizontal="center" vertical="center"/>
    </xf>
    <xf numFmtId="49" fontId="21" fillId="2" borderId="43" xfId="41" applyNumberFormat="1" applyFont="1" applyFill="1" applyBorder="1" applyAlignment="1" applyProtection="1">
      <alignment horizontal="left" vertical="center" indent="1"/>
    </xf>
    <xf numFmtId="0" fontId="21" fillId="2" borderId="14" xfId="41" applyFont="1" applyFill="1" applyBorder="1" applyAlignment="1" applyProtection="1">
      <alignment horizontal="center" vertical="center"/>
    </xf>
    <xf numFmtId="49" fontId="22" fillId="4" borderId="26" xfId="41" applyNumberFormat="1" applyFont="1" applyFill="1" applyBorder="1" applyAlignment="1" applyProtection="1">
      <alignment horizontal="left" vertical="center" indent="3"/>
    </xf>
    <xf numFmtId="49" fontId="21" fillId="3" borderId="67" xfId="38" applyNumberFormat="1" applyFont="1" applyFill="1" applyBorder="1" applyAlignment="1" applyProtection="1">
      <alignment horizontal="left" vertical="center" wrapText="1" indent="2"/>
    </xf>
    <xf numFmtId="0" fontId="21" fillId="3" borderId="20" xfId="0" applyFont="1" applyFill="1" applyBorder="1" applyAlignment="1" applyProtection="1">
      <alignment horizontal="center" vertical="center" wrapText="1"/>
    </xf>
    <xf numFmtId="49" fontId="21" fillId="3" borderId="43" xfId="38" applyNumberFormat="1" applyFont="1" applyFill="1" applyBorder="1" applyAlignment="1" applyProtection="1">
      <alignment horizontal="left" vertical="center" wrapText="1" indent="2"/>
    </xf>
    <xf numFmtId="49" fontId="21" fillId="3" borderId="0" xfId="38" applyNumberFormat="1" applyFont="1" applyFill="1" applyBorder="1" applyAlignment="1" applyProtection="1">
      <alignment horizontal="left" vertical="center" wrapText="1" indent="2"/>
    </xf>
    <xf numFmtId="49" fontId="22" fillId="4" borderId="28" xfId="38" applyNumberFormat="1" applyFont="1" applyFill="1" applyBorder="1" applyAlignment="1" applyProtection="1">
      <alignment horizontal="left" vertical="center" wrapText="1" indent="3"/>
    </xf>
    <xf numFmtId="49" fontId="19" fillId="0" borderId="25" xfId="41" applyNumberFormat="1" applyFont="1" applyBorder="1" applyAlignment="1" applyProtection="1">
      <alignment horizontal="left" vertical="center" indent="2"/>
    </xf>
    <xf numFmtId="49" fontId="19" fillId="0" borderId="7" xfId="41" applyNumberFormat="1" applyFont="1" applyBorder="1" applyAlignment="1" applyProtection="1">
      <alignment horizontal="center" vertical="center"/>
    </xf>
    <xf numFmtId="0" fontId="19" fillId="0" borderId="7" xfId="41" applyFont="1" applyBorder="1" applyAlignment="1" applyProtection="1">
      <alignment horizontal="center" vertical="center"/>
    </xf>
    <xf numFmtId="49" fontId="19" fillId="0" borderId="25" xfId="41" applyNumberFormat="1" applyFont="1" applyBorder="1" applyAlignment="1" applyProtection="1">
      <alignment horizontal="left" vertical="center" wrapText="1" indent="2"/>
    </xf>
    <xf numFmtId="0" fontId="22" fillId="4" borderId="28" xfId="0" applyFont="1" applyFill="1" applyBorder="1" applyAlignment="1" applyProtection="1">
      <alignment horizontal="left" vertical="center" wrapText="1" indent="3"/>
    </xf>
    <xf numFmtId="0" fontId="22" fillId="4" borderId="50" xfId="0" applyFont="1" applyFill="1" applyBorder="1" applyAlignment="1" applyProtection="1">
      <alignment horizontal="center" vertical="center" wrapText="1"/>
    </xf>
    <xf numFmtId="0" fontId="21" fillId="2" borderId="43" xfId="33" applyFont="1" applyFill="1" applyBorder="1" applyAlignment="1" applyProtection="1">
      <alignment horizontal="left" vertical="center" indent="1"/>
    </xf>
    <xf numFmtId="0" fontId="22" fillId="2" borderId="20" xfId="0" applyFont="1" applyFill="1" applyBorder="1" applyAlignment="1" applyProtection="1">
      <alignment horizontal="center" vertical="center"/>
    </xf>
    <xf numFmtId="49" fontId="21" fillId="3" borderId="25" xfId="41" applyNumberFormat="1" applyFont="1" applyFill="1" applyBorder="1" applyAlignment="1" applyProtection="1">
      <alignment horizontal="left" vertical="center" indent="2"/>
    </xf>
    <xf numFmtId="49" fontId="21" fillId="3" borderId="7" xfId="41" applyNumberFormat="1" applyFont="1" applyFill="1" applyBorder="1" applyAlignment="1" applyProtection="1">
      <alignment horizontal="center" vertical="center"/>
    </xf>
    <xf numFmtId="49" fontId="21" fillId="3" borderId="47" xfId="40" applyNumberFormat="1" applyFont="1" applyFill="1" applyBorder="1" applyAlignment="1" applyProtection="1">
      <alignment horizontal="left" vertical="center" wrapText="1" indent="2"/>
    </xf>
    <xf numFmtId="0" fontId="21" fillId="3" borderId="43" xfId="40" applyFont="1" applyFill="1" applyBorder="1" applyAlignment="1" applyProtection="1">
      <alignment horizontal="center" vertical="center"/>
    </xf>
    <xf numFmtId="49" fontId="22" fillId="4" borderId="28" xfId="40" applyNumberFormat="1" applyFont="1" applyFill="1" applyBorder="1" applyAlignment="1" applyProtection="1">
      <alignment horizontal="left" vertical="center" wrapText="1" indent="3"/>
    </xf>
    <xf numFmtId="0" fontId="22" fillId="4" borderId="19" xfId="40" applyFont="1" applyFill="1" applyBorder="1" applyAlignment="1" applyProtection="1">
      <alignment horizontal="center" vertical="center" wrapText="1"/>
    </xf>
    <xf numFmtId="49" fontId="19" fillId="0" borderId="25" xfId="40" applyNumberFormat="1" applyFont="1" applyBorder="1" applyAlignment="1" applyProtection="1">
      <alignment horizontal="left" vertical="center" indent="2"/>
    </xf>
    <xf numFmtId="0" fontId="19" fillId="0" borderId="7" xfId="40" applyFont="1" applyBorder="1" applyAlignment="1" applyProtection="1">
      <alignment horizontal="center" vertical="center"/>
    </xf>
    <xf numFmtId="49" fontId="19" fillId="0" borderId="0" xfId="40" applyNumberFormat="1" applyFont="1" applyBorder="1" applyAlignment="1" applyProtection="1">
      <alignment horizontal="left" vertical="top" wrapText="1" indent="2"/>
    </xf>
    <xf numFmtId="49" fontId="21" fillId="2" borderId="25" xfId="40" applyNumberFormat="1" applyFont="1" applyFill="1" applyBorder="1" applyAlignment="1" applyProtection="1">
      <alignment horizontal="left" vertical="center" indent="1"/>
    </xf>
    <xf numFmtId="0" fontId="21" fillId="2" borderId="7" xfId="40" applyFont="1" applyFill="1" applyBorder="1" applyAlignment="1" applyProtection="1">
      <alignment horizontal="center" vertical="center"/>
    </xf>
    <xf numFmtId="0" fontId="21" fillId="3" borderId="7" xfId="33" applyFont="1" applyFill="1" applyBorder="1" applyAlignment="1" applyProtection="1">
      <alignment horizontal="left" vertical="center" indent="2"/>
    </xf>
    <xf numFmtId="0" fontId="21" fillId="3" borderId="7" xfId="40" applyFont="1" applyFill="1" applyBorder="1" applyAlignment="1" applyProtection="1">
      <alignment horizontal="center" vertical="center"/>
    </xf>
    <xf numFmtId="49" fontId="21" fillId="2" borderId="43" xfId="40" applyNumberFormat="1" applyFont="1" applyFill="1" applyBorder="1" applyAlignment="1" applyProtection="1">
      <alignment horizontal="left" vertical="center" indent="1"/>
    </xf>
    <xf numFmtId="0" fontId="21" fillId="2" borderId="14" xfId="40" applyFont="1" applyFill="1" applyBorder="1" applyAlignment="1" applyProtection="1">
      <alignment horizontal="center" vertical="center"/>
    </xf>
    <xf numFmtId="49" fontId="21" fillId="3" borderId="25" xfId="40" applyNumberFormat="1" applyFont="1" applyFill="1" applyBorder="1" applyAlignment="1" applyProtection="1">
      <alignment horizontal="left" vertical="center" indent="1"/>
    </xf>
    <xf numFmtId="0" fontId="23" fillId="3" borderId="16" xfId="40" applyFont="1" applyFill="1" applyBorder="1" applyAlignment="1" applyProtection="1">
      <alignment horizontal="center" vertical="center"/>
    </xf>
    <xf numFmtId="49" fontId="22" fillId="4" borderId="28" xfId="39" applyNumberFormat="1" applyFont="1" applyFill="1" applyBorder="1" applyAlignment="1" applyProtection="1">
      <alignment horizontal="left" vertical="center" wrapText="1" indent="3"/>
    </xf>
    <xf numFmtId="49" fontId="22" fillId="0" borderId="0" xfId="39" applyNumberFormat="1" applyFont="1" applyFill="1" applyBorder="1" applyAlignment="1" applyProtection="1">
      <alignment horizontal="left" vertical="top" wrapText="1" indent="4"/>
    </xf>
    <xf numFmtId="49" fontId="21" fillId="10" borderId="7" xfId="40" applyNumberFormat="1" applyFont="1" applyFill="1" applyBorder="1" applyAlignment="1" applyProtection="1">
      <alignment horizontal="left" vertical="center"/>
    </xf>
    <xf numFmtId="49" fontId="21" fillId="10" borderId="25" xfId="40" applyNumberFormat="1" applyFont="1" applyFill="1" applyBorder="1" applyAlignment="1" applyProtection="1">
      <alignment horizontal="left" vertical="center"/>
    </xf>
    <xf numFmtId="38" fontId="23" fillId="10" borderId="7" xfId="40" applyNumberFormat="1" applyFont="1" applyFill="1" applyBorder="1" applyAlignment="1" applyProtection="1">
      <alignment horizontal="right"/>
    </xf>
    <xf numFmtId="49" fontId="21" fillId="2" borderId="14" xfId="40" applyNumberFormat="1" applyFont="1" applyFill="1" applyBorder="1" applyAlignment="1" applyProtection="1">
      <alignment horizontal="center" vertical="center"/>
    </xf>
    <xf numFmtId="49" fontId="21" fillId="3" borderId="43" xfId="40" applyNumberFormat="1" applyFont="1" applyFill="1" applyBorder="1" applyAlignment="1" applyProtection="1">
      <alignment horizontal="left" vertical="center" indent="1"/>
    </xf>
    <xf numFmtId="49" fontId="21" fillId="3" borderId="16" xfId="40" applyNumberFormat="1" applyFont="1" applyFill="1" applyBorder="1" applyAlignment="1" applyProtection="1">
      <alignment horizontal="center" vertical="center"/>
    </xf>
    <xf numFmtId="49" fontId="21" fillId="2" borderId="43" xfId="39" applyNumberFormat="1" applyFont="1" applyFill="1" applyBorder="1" applyAlignment="1" applyProtection="1">
      <alignment horizontal="left" vertical="center" indent="1"/>
    </xf>
    <xf numFmtId="0" fontId="21" fillId="2" borderId="14" xfId="39" applyFont="1" applyFill="1" applyBorder="1" applyAlignment="1" applyProtection="1">
      <alignment horizontal="center" vertical="center"/>
    </xf>
    <xf numFmtId="49" fontId="22" fillId="4" borderId="28" xfId="39" applyNumberFormat="1" applyFont="1" applyFill="1" applyBorder="1" applyAlignment="1" applyProtection="1">
      <alignment horizontal="left" vertical="center" indent="3"/>
    </xf>
    <xf numFmtId="49" fontId="22" fillId="3" borderId="25" xfId="39" applyNumberFormat="1" applyFont="1" applyFill="1" applyBorder="1" applyAlignment="1" applyProtection="1">
      <alignment horizontal="left" vertical="center" wrapText="1" indent="2"/>
    </xf>
    <xf numFmtId="49" fontId="21" fillId="3" borderId="43" xfId="39" applyNumberFormat="1" applyFont="1" applyFill="1" applyBorder="1" applyAlignment="1" applyProtection="1">
      <alignment horizontal="left" vertical="center" indent="2"/>
    </xf>
    <xf numFmtId="0" fontId="21" fillId="3" borderId="14" xfId="39" applyFont="1" applyFill="1" applyBorder="1" applyAlignment="1" applyProtection="1">
      <alignment horizontal="center" vertical="center"/>
    </xf>
    <xf numFmtId="0" fontId="22" fillId="3" borderId="7" xfId="39" applyFont="1" applyFill="1" applyBorder="1" applyAlignment="1" applyProtection="1">
      <alignment horizontal="center" vertical="center"/>
    </xf>
    <xf numFmtId="49" fontId="22" fillId="4" borderId="19" xfId="39" applyNumberFormat="1" applyFont="1" applyFill="1" applyBorder="1" applyAlignment="1" applyProtection="1">
      <alignment horizontal="left" vertical="center" indent="3"/>
    </xf>
    <xf numFmtId="49" fontId="19" fillId="0" borderId="25" xfId="39" applyNumberFormat="1" applyFont="1" applyBorder="1" applyAlignment="1" applyProtection="1">
      <alignment horizontal="left" vertical="center" indent="2"/>
    </xf>
    <xf numFmtId="0" fontId="19" fillId="0" borderId="7" xfId="39" applyFont="1" applyBorder="1" applyAlignment="1" applyProtection="1">
      <alignment horizontal="center" vertical="center"/>
    </xf>
    <xf numFmtId="49" fontId="19" fillId="0" borderId="25" xfId="39" applyNumberFormat="1" applyFont="1" applyBorder="1" applyAlignment="1" applyProtection="1">
      <alignment horizontal="left" vertical="center" wrapText="1" indent="2"/>
    </xf>
    <xf numFmtId="0" fontId="22" fillId="9" borderId="19" xfId="33" applyFont="1" applyFill="1" applyBorder="1" applyAlignment="1" applyProtection="1">
      <alignment horizontal="left" vertical="center" indent="3"/>
    </xf>
    <xf numFmtId="49" fontId="22" fillId="9" borderId="19" xfId="39" applyNumberFormat="1" applyFont="1" applyFill="1" applyBorder="1" applyAlignment="1" applyProtection="1">
      <alignment horizontal="center" vertical="center"/>
    </xf>
    <xf numFmtId="0" fontId="21" fillId="2" borderId="3" xfId="39" applyFont="1" applyFill="1" applyBorder="1" applyAlignment="1" applyProtection="1">
      <alignment horizontal="center" vertical="center"/>
    </xf>
    <xf numFmtId="0" fontId="21" fillId="3" borderId="16" xfId="39" applyFont="1" applyFill="1" applyBorder="1" applyAlignment="1" applyProtection="1">
      <alignment horizontal="center" vertical="center"/>
    </xf>
    <xf numFmtId="0" fontId="19" fillId="0" borderId="43" xfId="33" applyFont="1" applyFill="1" applyBorder="1" applyAlignment="1" applyProtection="1">
      <alignment horizontal="left" vertical="center" indent="2"/>
    </xf>
    <xf numFmtId="49" fontId="19" fillId="0" borderId="3" xfId="39" applyNumberFormat="1" applyFont="1" applyFill="1" applyBorder="1" applyAlignment="1" applyProtection="1">
      <alignment horizontal="center" vertical="center"/>
    </xf>
    <xf numFmtId="0" fontId="19" fillId="0" borderId="0" xfId="33" applyFont="1" applyFill="1" applyBorder="1" applyAlignment="1" applyProtection="1">
      <alignment horizontal="left" vertical="center" indent="2"/>
    </xf>
    <xf numFmtId="49" fontId="19" fillId="0" borderId="8" xfId="39" applyNumberFormat="1" applyFont="1" applyFill="1" applyBorder="1" applyAlignment="1" applyProtection="1">
      <alignment horizontal="center" vertical="center"/>
    </xf>
    <xf numFmtId="0" fontId="24" fillId="4" borderId="50" xfId="0" applyFont="1" applyFill="1" applyBorder="1" applyAlignment="1" applyProtection="1">
      <alignment vertical="center" wrapText="1"/>
    </xf>
    <xf numFmtId="49" fontId="22" fillId="0" borderId="21" xfId="38" applyNumberFormat="1" applyFont="1" applyBorder="1" applyAlignment="1" applyProtection="1">
      <alignment horizontal="left" vertical="center" indent="3"/>
    </xf>
    <xf numFmtId="0" fontId="24" fillId="0" borderId="67" xfId="38" applyFont="1" applyBorder="1" applyAlignment="1" applyProtection="1">
      <alignment horizontal="center" vertical="center"/>
    </xf>
    <xf numFmtId="49" fontId="22" fillId="0" borderId="0" xfId="38" applyNumberFormat="1" applyFont="1" applyFill="1" applyBorder="1" applyAlignment="1" applyProtection="1">
      <alignment horizontal="left" vertical="center" wrapText="1" indent="3"/>
    </xf>
    <xf numFmtId="0" fontId="24" fillId="0" borderId="0" xfId="38" applyFont="1" applyFill="1" applyBorder="1" applyAlignment="1" applyProtection="1">
      <alignment horizontal="center" vertical="center"/>
    </xf>
    <xf numFmtId="49" fontId="21" fillId="10" borderId="7" xfId="39" applyNumberFormat="1" applyFont="1" applyFill="1" applyBorder="1" applyAlignment="1" applyProtection="1">
      <alignment horizontal="left" vertical="center"/>
    </xf>
    <xf numFmtId="49" fontId="21" fillId="10" borderId="25" xfId="39" applyNumberFormat="1" applyFont="1" applyFill="1" applyBorder="1" applyAlignment="1" applyProtection="1">
      <alignment horizontal="left" vertical="center"/>
    </xf>
    <xf numFmtId="0" fontId="21" fillId="2" borderId="14" xfId="33" applyFont="1" applyFill="1" applyBorder="1" applyAlignment="1" applyProtection="1">
      <alignment horizontal="left" vertical="center" indent="1"/>
    </xf>
    <xf numFmtId="49" fontId="21" fillId="2" borderId="3" xfId="39" applyNumberFormat="1" applyFont="1" applyFill="1" applyBorder="1" applyAlignment="1" applyProtection="1">
      <alignment horizontal="center" vertical="center"/>
    </xf>
    <xf numFmtId="0" fontId="21" fillId="14" borderId="43" xfId="33" applyFont="1" applyFill="1" applyBorder="1" applyAlignment="1" applyProtection="1">
      <alignment horizontal="left" vertical="center" indent="1"/>
    </xf>
    <xf numFmtId="49" fontId="21" fillId="14" borderId="3" xfId="39" applyNumberFormat="1" applyFont="1" applyFill="1" applyBorder="1" applyAlignment="1" applyProtection="1">
      <alignment horizontal="center" vertical="center"/>
    </xf>
    <xf numFmtId="49" fontId="21" fillId="2" borderId="43" xfId="38" applyNumberFormat="1" applyFont="1" applyFill="1" applyBorder="1" applyAlignment="1" applyProtection="1">
      <alignment horizontal="left" vertical="center" indent="1"/>
    </xf>
    <xf numFmtId="0" fontId="21" fillId="2" borderId="14" xfId="38" applyFont="1" applyFill="1" applyBorder="1" applyAlignment="1" applyProtection="1">
      <alignment horizontal="center" vertical="center"/>
    </xf>
    <xf numFmtId="49" fontId="22" fillId="4" borderId="58" xfId="38" applyNumberFormat="1" applyFont="1" applyFill="1" applyBorder="1" applyAlignment="1" applyProtection="1">
      <alignment horizontal="left" vertical="center" indent="3"/>
    </xf>
    <xf numFmtId="0" fontId="22" fillId="4" borderId="23" xfId="38" applyFont="1" applyFill="1" applyBorder="1" applyAlignment="1" applyProtection="1">
      <alignment horizontal="center" vertical="center"/>
    </xf>
    <xf numFmtId="49" fontId="21" fillId="3" borderId="25" xfId="38" applyNumberFormat="1" applyFont="1" applyFill="1" applyBorder="1" applyAlignment="1" applyProtection="1">
      <alignment horizontal="left" vertical="center" indent="2"/>
    </xf>
    <xf numFmtId="0" fontId="21" fillId="3" borderId="15" xfId="38" applyFont="1" applyFill="1" applyBorder="1" applyAlignment="1" applyProtection="1">
      <alignment horizontal="center" vertical="center"/>
    </xf>
    <xf numFmtId="49" fontId="22" fillId="4" borderId="28" xfId="38" applyNumberFormat="1" applyFont="1" applyFill="1" applyBorder="1" applyAlignment="1" applyProtection="1">
      <alignment horizontal="left" vertical="center" indent="3"/>
    </xf>
    <xf numFmtId="49" fontId="19" fillId="0" borderId="25" xfId="38" applyNumberFormat="1" applyFont="1" applyBorder="1" applyAlignment="1" applyProtection="1">
      <alignment horizontal="left" vertical="center" indent="2"/>
    </xf>
    <xf numFmtId="0" fontId="19" fillId="0" borderId="7" xfId="38" applyFont="1" applyBorder="1" applyAlignment="1" applyProtection="1">
      <alignment horizontal="center" vertical="center"/>
    </xf>
    <xf numFmtId="49" fontId="19" fillId="0" borderId="16" xfId="38" applyNumberFormat="1" applyFont="1" applyBorder="1" applyAlignment="1" applyProtection="1">
      <alignment horizontal="left" vertical="center" wrapText="1" indent="2"/>
    </xf>
    <xf numFmtId="49" fontId="19" fillId="0" borderId="16" xfId="38" applyNumberFormat="1" applyFont="1" applyBorder="1" applyAlignment="1" applyProtection="1">
      <alignment horizontal="left" vertical="center" indent="2"/>
    </xf>
    <xf numFmtId="49" fontId="22" fillId="4" borderId="10" xfId="38" applyNumberFormat="1" applyFont="1" applyFill="1" applyBorder="1" applyAlignment="1" applyProtection="1">
      <alignment horizontal="left" vertical="center" wrapText="1" indent="3"/>
    </xf>
    <xf numFmtId="0" fontId="21" fillId="2" borderId="20" xfId="38" applyFont="1" applyFill="1" applyBorder="1" applyAlignment="1" applyProtection="1">
      <alignment horizontal="center" vertical="center"/>
    </xf>
    <xf numFmtId="49" fontId="21" fillId="3" borderId="43" xfId="38" applyNumberFormat="1" applyFont="1" applyFill="1" applyBorder="1" applyAlignment="1" applyProtection="1">
      <alignment horizontal="left" vertical="center" indent="2"/>
    </xf>
    <xf numFmtId="0" fontId="21" fillId="3" borderId="47" xfId="38" applyFont="1" applyFill="1" applyBorder="1" applyAlignment="1" applyProtection="1">
      <alignment horizontal="center" vertical="center"/>
    </xf>
    <xf numFmtId="49" fontId="19" fillId="0" borderId="20" xfId="38" applyNumberFormat="1" applyFont="1" applyFill="1" applyBorder="1" applyAlignment="1" applyProtection="1">
      <alignment horizontal="left" vertical="center" indent="2"/>
    </xf>
    <xf numFmtId="0" fontId="19" fillId="0" borderId="20" xfId="38" applyFont="1" applyFill="1" applyBorder="1" applyAlignment="1" applyProtection="1">
      <alignment horizontal="center" vertical="center"/>
    </xf>
    <xf numFmtId="49" fontId="19" fillId="0" borderId="25" xfId="37" applyNumberFormat="1" applyFont="1" applyFill="1" applyBorder="1" applyAlignment="1" applyProtection="1">
      <alignment horizontal="left" vertical="center" indent="2"/>
    </xf>
    <xf numFmtId="0" fontId="19" fillId="0" borderId="7" xfId="37" applyFont="1" applyFill="1" applyBorder="1" applyAlignment="1" applyProtection="1">
      <alignment horizontal="center" vertical="center"/>
    </xf>
    <xf numFmtId="49" fontId="19" fillId="0" borderId="7" xfId="38" applyNumberFormat="1" applyFont="1" applyBorder="1" applyAlignment="1" applyProtection="1">
      <alignment horizontal="center" vertical="center"/>
    </xf>
    <xf numFmtId="49" fontId="19" fillId="0" borderId="25" xfId="38" applyNumberFormat="1" applyFont="1" applyBorder="1" applyAlignment="1" applyProtection="1">
      <alignment horizontal="left" vertical="top" indent="2"/>
    </xf>
    <xf numFmtId="49" fontId="21" fillId="2" borderId="25" xfId="37" applyNumberFormat="1" applyFont="1" applyFill="1" applyBorder="1" applyAlignment="1" applyProtection="1">
      <alignment horizontal="left" vertical="center" indent="1"/>
    </xf>
    <xf numFmtId="0" fontId="21" fillId="2" borderId="7" xfId="37" applyFont="1" applyFill="1" applyBorder="1" applyAlignment="1" applyProtection="1">
      <alignment horizontal="center" vertical="center"/>
    </xf>
    <xf numFmtId="49" fontId="21" fillId="3" borderId="25" xfId="37" applyNumberFormat="1" applyFont="1" applyFill="1" applyBorder="1" applyAlignment="1" applyProtection="1">
      <alignment horizontal="left" vertical="center" indent="2"/>
    </xf>
    <xf numFmtId="0" fontId="22" fillId="3" borderId="7" xfId="37" applyFont="1" applyFill="1" applyBorder="1" applyAlignment="1" applyProtection="1">
      <alignment horizontal="center" vertical="center"/>
    </xf>
    <xf numFmtId="49" fontId="21" fillId="2" borderId="43" xfId="37" applyNumberFormat="1" applyFont="1" applyFill="1" applyBorder="1" applyAlignment="1" applyProtection="1">
      <alignment horizontal="left" vertical="center" indent="1"/>
    </xf>
    <xf numFmtId="0" fontId="21" fillId="2" borderId="14" xfId="37" applyFont="1" applyFill="1" applyBorder="1" applyAlignment="1" applyProtection="1">
      <alignment horizontal="center" vertical="center"/>
    </xf>
    <xf numFmtId="49" fontId="22" fillId="4" borderId="19" xfId="36" applyNumberFormat="1" applyFont="1" applyFill="1" applyBorder="1" applyAlignment="1" applyProtection="1">
      <alignment horizontal="left" vertical="center" indent="3"/>
    </xf>
    <xf numFmtId="0" fontId="22" fillId="4" borderId="19" xfId="36" applyFont="1" applyFill="1" applyBorder="1" applyAlignment="1" applyProtection="1">
      <alignment horizontal="center" vertical="center"/>
    </xf>
    <xf numFmtId="49" fontId="23" fillId="3" borderId="43" xfId="37" applyNumberFormat="1" applyFont="1" applyFill="1" applyBorder="1" applyAlignment="1" applyProtection="1">
      <alignment horizontal="left" vertical="center" indent="2"/>
    </xf>
    <xf numFmtId="0" fontId="21" fillId="3" borderId="14" xfId="37" applyFont="1" applyFill="1" applyBorder="1" applyAlignment="1" applyProtection="1">
      <alignment horizontal="center" vertical="center"/>
    </xf>
    <xf numFmtId="49" fontId="22" fillId="4" borderId="28" xfId="37" applyNumberFormat="1" applyFont="1" applyFill="1" applyBorder="1" applyAlignment="1" applyProtection="1">
      <alignment horizontal="left" vertical="center" indent="3"/>
    </xf>
    <xf numFmtId="49" fontId="19" fillId="0" borderId="4" xfId="37" applyNumberFormat="1" applyFont="1" applyBorder="1" applyAlignment="1" applyProtection="1">
      <alignment horizontal="left" vertical="center" indent="2"/>
    </xf>
    <xf numFmtId="0" fontId="19" fillId="0" borderId="7" xfId="37" applyFont="1" applyBorder="1" applyAlignment="1" applyProtection="1">
      <alignment horizontal="center" vertical="center"/>
    </xf>
    <xf numFmtId="49" fontId="19" fillId="0" borderId="25" xfId="37" applyNumberFormat="1" applyFont="1" applyBorder="1" applyAlignment="1" applyProtection="1">
      <alignment horizontal="left" vertical="center" indent="2"/>
    </xf>
    <xf numFmtId="49" fontId="21" fillId="3" borderId="16" xfId="37" applyNumberFormat="1" applyFont="1" applyFill="1" applyBorder="1" applyAlignment="1" applyProtection="1">
      <alignment horizontal="left" vertical="center" indent="2"/>
    </xf>
    <xf numFmtId="0" fontId="21" fillId="3" borderId="7" xfId="37" applyFont="1" applyFill="1" applyBorder="1" applyAlignment="1" applyProtection="1">
      <alignment horizontal="center" vertical="center"/>
    </xf>
    <xf numFmtId="49" fontId="22" fillId="0" borderId="21" xfId="36" applyNumberFormat="1" applyFont="1" applyBorder="1" applyAlignment="1" applyProtection="1">
      <alignment horizontal="left" vertical="center" wrapText="1" indent="2"/>
    </xf>
    <xf numFmtId="49" fontId="22" fillId="0" borderId="7" xfId="36" applyNumberFormat="1" applyFont="1" applyBorder="1" applyAlignment="1" applyProtection="1">
      <alignment horizontal="left" vertical="center" wrapText="1" indent="2"/>
    </xf>
    <xf numFmtId="49" fontId="22" fillId="0" borderId="0" xfId="36" applyNumberFormat="1" applyFont="1" applyFill="1" applyBorder="1" applyAlignment="1" applyProtection="1">
      <alignment horizontal="left" vertical="center" wrapText="1" indent="3"/>
    </xf>
    <xf numFmtId="49" fontId="21" fillId="10" borderId="7" xfId="33" applyNumberFormat="1" applyFont="1" applyFill="1" applyBorder="1" applyAlignment="1" applyProtection="1">
      <alignment horizontal="left" vertical="center"/>
    </xf>
    <xf numFmtId="49" fontId="21" fillId="2" borderId="12" xfId="37" applyNumberFormat="1" applyFont="1" applyFill="1" applyBorder="1" applyAlignment="1" applyProtection="1">
      <alignment horizontal="left" vertical="center" indent="1"/>
    </xf>
    <xf numFmtId="49" fontId="21" fillId="2" borderId="3" xfId="37" applyNumberFormat="1" applyFont="1" applyFill="1" applyBorder="1" applyAlignment="1" applyProtection="1">
      <alignment horizontal="center" vertical="center"/>
    </xf>
    <xf numFmtId="49" fontId="21" fillId="2" borderId="47" xfId="36" applyNumberFormat="1" applyFont="1" applyFill="1" applyBorder="1" applyAlignment="1" applyProtection="1">
      <alignment horizontal="left" vertical="center" indent="1"/>
    </xf>
    <xf numFmtId="0" fontId="21" fillId="2" borderId="0" xfId="36" applyFont="1" applyFill="1" applyBorder="1" applyAlignment="1" applyProtection="1">
      <alignment horizontal="center" vertical="center"/>
    </xf>
    <xf numFmtId="49" fontId="21" fillId="3" borderId="0" xfId="36" applyNumberFormat="1" applyFont="1" applyFill="1" applyBorder="1" applyAlignment="1" applyProtection="1">
      <alignment horizontal="left" vertical="center" indent="2"/>
    </xf>
    <xf numFmtId="0" fontId="21" fillId="3" borderId="12" xfId="36" applyFont="1" applyFill="1" applyBorder="1" applyAlignment="1" applyProtection="1">
      <alignment horizontal="center" vertical="center"/>
    </xf>
    <xf numFmtId="49" fontId="19" fillId="0" borderId="25" xfId="36" applyNumberFormat="1" applyFont="1" applyBorder="1" applyAlignment="1" applyProtection="1">
      <alignment horizontal="left" vertical="center" wrapText="1" indent="2"/>
    </xf>
    <xf numFmtId="49" fontId="21" fillId="2" borderId="14" xfId="36" applyNumberFormat="1" applyFont="1" applyFill="1" applyBorder="1" applyAlignment="1" applyProtection="1">
      <alignment horizontal="left" vertical="center" indent="1"/>
    </xf>
    <xf numFmtId="0" fontId="21" fillId="2" borderId="20" xfId="36" applyFont="1" applyFill="1" applyBorder="1" applyAlignment="1" applyProtection="1">
      <alignment horizontal="center" vertical="center"/>
    </xf>
    <xf numFmtId="49" fontId="21" fillId="3" borderId="25" xfId="36" applyNumberFormat="1" applyFont="1" applyFill="1" applyBorder="1" applyAlignment="1" applyProtection="1">
      <alignment horizontal="left" vertical="center" indent="2"/>
    </xf>
    <xf numFmtId="49" fontId="19" fillId="0" borderId="4" xfId="34" applyNumberFormat="1" applyFont="1" applyBorder="1" applyAlignment="1" applyProtection="1">
      <alignment horizontal="left" vertical="center" indent="2"/>
    </xf>
    <xf numFmtId="0" fontId="19" fillId="0" borderId="48" xfId="34" applyFont="1" applyBorder="1" applyAlignment="1" applyProtection="1">
      <alignment horizontal="center" vertical="center" wrapText="1"/>
    </xf>
    <xf numFmtId="0" fontId="24" fillId="0" borderId="0" xfId="33" applyFont="1" applyProtection="1"/>
    <xf numFmtId="0" fontId="23" fillId="0" borderId="0" xfId="33" applyNumberFormat="1" applyFont="1" applyAlignment="1" applyProtection="1">
      <alignment vertical="top" wrapText="1"/>
    </xf>
    <xf numFmtId="49" fontId="22" fillId="4" borderId="0" xfId="33" applyNumberFormat="1" applyFont="1" applyFill="1" applyBorder="1" applyAlignment="1" applyProtection="1">
      <alignment horizontal="left" vertical="center" wrapText="1" indent="3"/>
    </xf>
    <xf numFmtId="0" fontId="20" fillId="0" borderId="0" xfId="33" applyFont="1" applyAlignment="1" applyProtection="1">
      <alignment vertical="top" wrapText="1"/>
    </xf>
    <xf numFmtId="49" fontId="21" fillId="0" borderId="2" xfId="0" applyNumberFormat="1" applyFont="1" applyBorder="1" applyAlignment="1" applyProtection="1">
      <alignment horizontal="center"/>
    </xf>
    <xf numFmtId="49" fontId="21" fillId="0" borderId="2" xfId="33" applyNumberFormat="1" applyFont="1" applyBorder="1" applyAlignment="1" applyProtection="1">
      <alignment horizontal="center"/>
    </xf>
    <xf numFmtId="49" fontId="21" fillId="0" borderId="2" xfId="11" applyNumberFormat="1" applyFont="1" applyBorder="1" applyAlignment="1" applyProtection="1">
      <alignment horizontal="center"/>
    </xf>
    <xf numFmtId="0" fontId="23" fillId="0" borderId="0" xfId="33" applyNumberFormat="1" applyFont="1" applyProtection="1"/>
    <xf numFmtId="49" fontId="21" fillId="0" borderId="8" xfId="5" applyNumberFormat="1" applyFont="1" applyBorder="1" applyAlignment="1" applyProtection="1">
      <alignment horizontal="center" vertical="center" wrapText="1"/>
    </xf>
    <xf numFmtId="0" fontId="21" fillId="3" borderId="16" xfId="35" applyFont="1" applyFill="1" applyBorder="1" applyAlignment="1" applyProtection="1">
      <alignment horizontal="center" vertical="center"/>
    </xf>
    <xf numFmtId="0" fontId="22" fillId="3" borderId="16" xfId="36" applyFont="1" applyFill="1" applyBorder="1" applyAlignment="1" applyProtection="1">
      <alignment horizontal="center" vertical="center"/>
    </xf>
    <xf numFmtId="0" fontId="24" fillId="0" borderId="114" xfId="0" applyFont="1" applyBorder="1" applyProtection="1"/>
    <xf numFmtId="165" fontId="24" fillId="0" borderId="0" xfId="0" applyNumberFormat="1" applyFont="1" applyBorder="1" applyAlignment="1" applyProtection="1">
      <alignment horizontal="left"/>
    </xf>
    <xf numFmtId="165" fontId="48" fillId="13" borderId="120" xfId="0" applyNumberFormat="1" applyFont="1" applyFill="1" applyBorder="1" applyProtection="1"/>
    <xf numFmtId="165" fontId="24" fillId="14" borderId="121" xfId="0" applyNumberFormat="1" applyFont="1" applyFill="1" applyBorder="1" applyProtection="1"/>
    <xf numFmtId="0" fontId="24" fillId="19" borderId="116" xfId="0" applyNumberFormat="1" applyFont="1" applyFill="1" applyBorder="1" applyAlignment="1" applyProtection="1">
      <alignment vertical="top"/>
    </xf>
    <xf numFmtId="165" fontId="24" fillId="19" borderId="116" xfId="0" applyNumberFormat="1" applyFont="1" applyFill="1" applyBorder="1" applyAlignment="1" applyProtection="1">
      <alignment vertical="top"/>
    </xf>
    <xf numFmtId="0" fontId="24" fillId="0" borderId="114" xfId="0" applyFont="1" applyBorder="1" applyAlignment="1" applyProtection="1">
      <alignment vertical="top"/>
    </xf>
    <xf numFmtId="165" fontId="32" fillId="0" borderId="114" xfId="0" quotePrefix="1" applyNumberFormat="1" applyFont="1" applyBorder="1" applyAlignment="1" applyProtection="1">
      <alignment horizontal="center" vertical="center"/>
    </xf>
    <xf numFmtId="165" fontId="32" fillId="0" borderId="114" xfId="0" quotePrefix="1" applyNumberFormat="1" applyFont="1" applyBorder="1" applyAlignment="1" applyProtection="1">
      <alignment horizontal="left" vertical="center"/>
    </xf>
    <xf numFmtId="0" fontId="24" fillId="0" borderId="0" xfId="0" applyFont="1" applyBorder="1" applyAlignment="1" applyProtection="1">
      <alignment horizontal="left" vertical="center"/>
    </xf>
    <xf numFmtId="0" fontId="32" fillId="13" borderId="120" xfId="0" applyFont="1" applyFill="1" applyBorder="1" applyAlignment="1" applyProtection="1">
      <alignment horizontal="left" vertical="center"/>
    </xf>
    <xf numFmtId="0" fontId="32" fillId="13" borderId="120" xfId="0" applyFont="1" applyFill="1" applyBorder="1" applyAlignment="1" applyProtection="1">
      <alignment horizontal="left"/>
    </xf>
    <xf numFmtId="0" fontId="32" fillId="13" borderId="119" xfId="0" applyFont="1" applyFill="1" applyBorder="1" applyAlignment="1" applyProtection="1">
      <alignment horizontal="left"/>
    </xf>
    <xf numFmtId="165" fontId="48" fillId="14" borderId="122" xfId="0" applyNumberFormat="1" applyFont="1" applyFill="1" applyBorder="1" applyProtection="1"/>
    <xf numFmtId="0" fontId="32" fillId="14" borderId="122" xfId="0" applyFont="1" applyFill="1" applyBorder="1" applyAlignment="1" applyProtection="1">
      <alignment horizontal="center" vertical="center"/>
    </xf>
    <xf numFmtId="0" fontId="32" fillId="14" borderId="122" xfId="0" applyFont="1" applyFill="1" applyBorder="1" applyAlignment="1" applyProtection="1">
      <alignment horizontal="center"/>
    </xf>
    <xf numFmtId="0" fontId="32" fillId="14" borderId="123" xfId="0" applyFont="1" applyFill="1" applyBorder="1" applyAlignment="1" applyProtection="1">
      <alignment horizontal="center"/>
    </xf>
    <xf numFmtId="0" fontId="24" fillId="0" borderId="117" xfId="0" applyFont="1" applyBorder="1" applyAlignment="1" applyProtection="1">
      <alignment vertical="top"/>
    </xf>
    <xf numFmtId="0" fontId="24" fillId="0" borderId="117" xfId="0" applyFont="1" applyBorder="1" applyAlignment="1" applyProtection="1">
      <alignment vertical="top" wrapText="1"/>
    </xf>
    <xf numFmtId="172" fontId="24" fillId="0" borderId="118" xfId="0" applyNumberFormat="1" applyFont="1" applyBorder="1" applyAlignment="1" applyProtection="1">
      <alignment vertical="top" wrapText="1"/>
    </xf>
    <xf numFmtId="0" fontId="24" fillId="0" borderId="0" xfId="0" applyNumberFormat="1" applyFont="1" applyBorder="1" applyProtection="1"/>
    <xf numFmtId="0" fontId="24" fillId="0" borderId="0" xfId="0" applyNumberFormat="1" applyFont="1" applyBorder="1" applyAlignment="1" applyProtection="1">
      <alignment horizontal="right"/>
    </xf>
    <xf numFmtId="38" fontId="24" fillId="0" borderId="0" xfId="0" applyNumberFormat="1" applyFont="1" applyBorder="1" applyProtection="1"/>
    <xf numFmtId="0" fontId="24" fillId="0" borderId="0" xfId="0" applyFont="1" applyBorder="1" applyAlignment="1" applyProtection="1">
      <alignment vertical="top"/>
    </xf>
    <xf numFmtId="0" fontId="24" fillId="0" borderId="0" xfId="0" applyNumberFormat="1" applyFont="1" applyBorder="1" applyAlignment="1" applyProtection="1">
      <alignment vertical="top"/>
    </xf>
    <xf numFmtId="0" fontId="0" fillId="0" borderId="0" xfId="0" applyProtection="1"/>
    <xf numFmtId="0" fontId="24" fillId="0" borderId="0" xfId="0" applyFont="1" applyFill="1" applyBorder="1" applyProtection="1"/>
    <xf numFmtId="0" fontId="24" fillId="19" borderId="116" xfId="0" applyFont="1" applyFill="1" applyBorder="1" applyAlignment="1" applyProtection="1">
      <alignment horizontal="left" vertical="top"/>
    </xf>
    <xf numFmtId="172" fontId="24" fillId="19" borderId="116" xfId="0" applyNumberFormat="1" applyFont="1" applyFill="1" applyBorder="1" applyAlignment="1" applyProtection="1">
      <alignment vertical="top"/>
    </xf>
    <xf numFmtId="38" fontId="23" fillId="4" borderId="10" xfId="0" applyNumberFormat="1" applyFont="1" applyFill="1" applyBorder="1" applyAlignment="1" applyProtection="1">
      <alignment vertical="center"/>
    </xf>
    <xf numFmtId="38" fontId="23" fillId="4" borderId="10" xfId="0" applyNumberFormat="1" applyFont="1" applyFill="1" applyBorder="1" applyAlignment="1" applyProtection="1"/>
    <xf numFmtId="38" fontId="23" fillId="4" borderId="23" xfId="0" applyNumberFormat="1" applyFont="1" applyFill="1" applyBorder="1" applyAlignment="1" applyProtection="1">
      <alignment vertical="center"/>
    </xf>
    <xf numFmtId="38" fontId="23" fillId="4" borderId="23" xfId="0" applyNumberFormat="1" applyFont="1" applyFill="1" applyBorder="1" applyAlignment="1" applyProtection="1"/>
    <xf numFmtId="0" fontId="24" fillId="0" borderId="0" xfId="0" applyFont="1" applyAlignment="1" applyProtection="1">
      <alignment vertical="top"/>
    </xf>
    <xf numFmtId="0" fontId="24" fillId="0" borderId="0" xfId="0" applyFont="1" applyAlignment="1" applyProtection="1">
      <alignment vertical="center"/>
    </xf>
    <xf numFmtId="38" fontId="24" fillId="0" borderId="0" xfId="0" applyNumberFormat="1" applyFont="1" applyAlignment="1" applyProtection="1">
      <alignment vertical="center"/>
    </xf>
    <xf numFmtId="0" fontId="24" fillId="0" borderId="0" xfId="0" applyFont="1" applyAlignment="1" applyProtection="1">
      <alignment horizontal="left"/>
    </xf>
    <xf numFmtId="0" fontId="21" fillId="2" borderId="7" xfId="0" applyFont="1" applyFill="1" applyBorder="1" applyAlignment="1" applyProtection="1">
      <alignment horizontal="left" vertical="center"/>
    </xf>
    <xf numFmtId="0" fontId="21" fillId="2" borderId="16" xfId="0" applyFont="1" applyFill="1" applyBorder="1" applyAlignment="1" applyProtection="1">
      <alignment vertical="center"/>
    </xf>
    <xf numFmtId="171" fontId="21" fillId="2" borderId="7" xfId="0" applyNumberFormat="1" applyFont="1" applyFill="1" applyBorder="1" applyAlignment="1" applyProtection="1">
      <alignment horizontal="left" vertical="center"/>
    </xf>
    <xf numFmtId="38" fontId="23" fillId="4" borderId="8" xfId="0" applyNumberFormat="1" applyFont="1" applyFill="1" applyBorder="1" applyAlignment="1" applyProtection="1">
      <alignment vertical="center"/>
    </xf>
    <xf numFmtId="38" fontId="22" fillId="3" borderId="8" xfId="0" applyNumberFormat="1" applyFont="1" applyFill="1" applyBorder="1" applyAlignment="1" applyProtection="1">
      <alignment vertical="center"/>
    </xf>
    <xf numFmtId="38" fontId="23" fillId="3" borderId="8" xfId="0" applyNumberFormat="1" applyFont="1" applyFill="1" applyBorder="1" applyAlignment="1" applyProtection="1">
      <alignment vertical="center"/>
    </xf>
    <xf numFmtId="38" fontId="23" fillId="4" borderId="19" xfId="0" applyNumberFormat="1" applyFont="1" applyFill="1" applyBorder="1" applyAlignment="1" applyProtection="1"/>
    <xf numFmtId="0" fontId="21" fillId="15" borderId="7" xfId="0" applyFont="1" applyFill="1" applyBorder="1" applyAlignment="1" applyProtection="1">
      <alignment horizontal="left" vertical="center"/>
    </xf>
    <xf numFmtId="0" fontId="32" fillId="15" borderId="16" xfId="0" applyFont="1" applyFill="1" applyBorder="1" applyAlignment="1" applyProtection="1">
      <alignment horizontal="left" vertical="center"/>
    </xf>
    <xf numFmtId="38" fontId="23" fillId="15" borderId="8" xfId="0" applyNumberFormat="1" applyFont="1" applyFill="1" applyBorder="1" applyAlignment="1" applyProtection="1"/>
    <xf numFmtId="0" fontId="21" fillId="2" borderId="7" xfId="0" applyFont="1" applyFill="1" applyBorder="1" applyAlignment="1" applyProtection="1">
      <alignment vertical="center" wrapText="1"/>
    </xf>
    <xf numFmtId="0" fontId="22" fillId="2" borderId="15" xfId="0" applyFont="1" applyFill="1" applyBorder="1" applyAlignment="1" applyProtection="1">
      <alignment horizontal="center" vertical="center" wrapText="1"/>
    </xf>
    <xf numFmtId="0" fontId="21" fillId="15" borderId="14" xfId="0" applyFont="1" applyFill="1" applyBorder="1" applyAlignment="1" applyProtection="1">
      <alignment horizontal="left" vertical="center"/>
    </xf>
    <xf numFmtId="0" fontId="22" fillId="15" borderId="3" xfId="0" applyFont="1" applyFill="1" applyBorder="1" applyAlignment="1" applyProtection="1">
      <alignment horizontal="center" vertical="center" wrapText="1"/>
    </xf>
    <xf numFmtId="38" fontId="19" fillId="15" borderId="8" xfId="0" applyNumberFormat="1" applyFont="1" applyFill="1" applyBorder="1" applyAlignment="1" applyProtection="1">
      <alignment vertical="center"/>
    </xf>
    <xf numFmtId="38" fontId="23" fillId="15" borderId="8" xfId="0" applyNumberFormat="1" applyFont="1" applyFill="1" applyBorder="1" applyAlignment="1" applyProtection="1">
      <alignment vertical="center"/>
    </xf>
    <xf numFmtId="38" fontId="23" fillId="4" borderId="15" xfId="0" applyNumberFormat="1" applyFont="1" applyFill="1" applyBorder="1" applyAlignment="1" applyProtection="1"/>
    <xf numFmtId="38" fontId="23" fillId="3" borderId="15" xfId="0" applyNumberFormat="1" applyFont="1" applyFill="1" applyBorder="1" applyAlignment="1" applyProtection="1"/>
    <xf numFmtId="38" fontId="23" fillId="4" borderId="2" xfId="0" applyNumberFormat="1" applyFont="1" applyFill="1" applyBorder="1" applyAlignment="1" applyProtection="1">
      <alignment vertical="center"/>
    </xf>
    <xf numFmtId="0" fontId="50" fillId="0" borderId="43" xfId="0" applyFont="1" applyBorder="1" applyAlignment="1" applyProtection="1">
      <alignment horizontal="left" indent="1"/>
    </xf>
    <xf numFmtId="0" fontId="24" fillId="0" borderId="47" xfId="0" applyFont="1" applyFill="1" applyBorder="1" applyAlignment="1" applyProtection="1">
      <alignment horizontal="center" vertical="center"/>
    </xf>
    <xf numFmtId="0" fontId="24" fillId="13" borderId="0" xfId="0" applyFont="1" applyFill="1" applyBorder="1" applyAlignment="1" applyProtection="1">
      <alignment horizontal="center" vertical="center"/>
    </xf>
    <xf numFmtId="0" fontId="24" fillId="14" borderId="14" xfId="0" applyFont="1" applyFill="1" applyBorder="1" applyAlignment="1" applyProtection="1">
      <alignment horizontal="center" vertical="center"/>
    </xf>
    <xf numFmtId="0" fontId="24" fillId="14" borderId="43" xfId="0" applyFont="1" applyFill="1" applyBorder="1" applyAlignment="1" applyProtection="1">
      <alignment horizontal="center" vertical="center"/>
    </xf>
    <xf numFmtId="0" fontId="24" fillId="14" borderId="47" xfId="0" applyFont="1" applyFill="1" applyBorder="1" applyAlignment="1" applyProtection="1">
      <alignment horizontal="center" vertical="center"/>
    </xf>
    <xf numFmtId="0" fontId="24" fillId="13" borderId="43" xfId="0" applyFont="1" applyFill="1" applyBorder="1" applyProtection="1"/>
    <xf numFmtId="0" fontId="37" fillId="13" borderId="43" xfId="0" applyFont="1" applyFill="1" applyBorder="1" applyAlignment="1" applyProtection="1">
      <alignment horizontal="center" vertical="top"/>
    </xf>
    <xf numFmtId="0" fontId="24" fillId="13" borderId="47" xfId="0" applyFont="1" applyFill="1" applyBorder="1" applyProtection="1"/>
    <xf numFmtId="0" fontId="37" fillId="0" borderId="43" xfId="0" applyFont="1" applyBorder="1" applyAlignment="1" applyProtection="1">
      <alignment vertical="top"/>
    </xf>
    <xf numFmtId="0" fontId="24" fillId="0" borderId="47" xfId="0" applyFont="1" applyBorder="1" applyAlignment="1" applyProtection="1">
      <alignment vertical="center" wrapText="1"/>
    </xf>
    <xf numFmtId="0" fontId="22" fillId="0" borderId="15"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2" fillId="15" borderId="15" xfId="0" applyFont="1" applyFill="1" applyBorder="1" applyAlignment="1" applyProtection="1">
      <alignment horizontal="center" vertical="center" wrapText="1"/>
    </xf>
    <xf numFmtId="38" fontId="22" fillId="15" borderId="15" xfId="0" applyNumberFormat="1" applyFont="1" applyFill="1" applyBorder="1" applyAlignment="1" applyProtection="1">
      <alignment vertical="center"/>
    </xf>
    <xf numFmtId="38" fontId="22" fillId="15" borderId="8" xfId="0" applyNumberFormat="1" applyFont="1" applyFill="1" applyBorder="1" applyAlignment="1" applyProtection="1">
      <alignment vertical="center"/>
    </xf>
    <xf numFmtId="167" fontId="24" fillId="13" borderId="13" xfId="0" applyNumberFormat="1" applyFont="1" applyFill="1" applyBorder="1" applyAlignment="1" applyProtection="1">
      <alignment horizontal="left" vertical="center" indent="1"/>
    </xf>
    <xf numFmtId="0" fontId="37" fillId="0" borderId="0" xfId="0" applyFont="1" applyBorder="1" applyAlignment="1" applyProtection="1">
      <alignment horizontal="left" vertical="top"/>
    </xf>
    <xf numFmtId="0" fontId="32" fillId="0" borderId="13" xfId="0" applyFont="1" applyBorder="1" applyProtection="1"/>
    <xf numFmtId="0" fontId="24" fillId="13" borderId="0" xfId="0" applyFont="1" applyFill="1" applyProtection="1"/>
    <xf numFmtId="0" fontId="32" fillId="14" borderId="12" xfId="0" applyFont="1" applyFill="1" applyBorder="1" applyAlignment="1" applyProtection="1">
      <alignment horizontal="center" vertical="center"/>
    </xf>
    <xf numFmtId="0" fontId="32" fillId="14" borderId="0" xfId="0" applyFont="1" applyFill="1" applyBorder="1" applyAlignment="1" applyProtection="1">
      <alignment horizontal="center" vertical="center"/>
    </xf>
    <xf numFmtId="0" fontId="32" fillId="14" borderId="13" xfId="0" applyFont="1" applyFill="1" applyBorder="1" applyAlignment="1" applyProtection="1">
      <alignment horizontal="center" vertical="center"/>
    </xf>
    <xf numFmtId="0" fontId="32" fillId="13" borderId="0" xfId="0" applyFont="1" applyFill="1" applyBorder="1" applyAlignment="1" applyProtection="1">
      <alignment horizontal="center" vertical="center"/>
    </xf>
    <xf numFmtId="0" fontId="35" fillId="0" borderId="4" xfId="0" applyNumberFormat="1" applyFont="1" applyBorder="1" applyAlignment="1" applyProtection="1">
      <alignment horizontal="left" indent="1"/>
    </xf>
    <xf numFmtId="0" fontId="19" fillId="0" borderId="46" xfId="0" applyFont="1" applyBorder="1" applyAlignment="1" applyProtection="1">
      <alignment vertical="top"/>
    </xf>
    <xf numFmtId="0" fontId="32" fillId="14" borderId="48" xfId="0" applyFont="1" applyFill="1" applyBorder="1" applyAlignment="1" applyProtection="1">
      <alignment horizontal="center" vertical="center"/>
    </xf>
    <xf numFmtId="0" fontId="32" fillId="14" borderId="4" xfId="0" applyFont="1" applyFill="1" applyBorder="1" applyAlignment="1" applyProtection="1">
      <alignment horizontal="center" vertical="center"/>
    </xf>
    <xf numFmtId="0" fontId="32" fillId="14" borderId="46" xfId="0" applyFont="1" applyFill="1" applyBorder="1" applyAlignment="1" applyProtection="1">
      <alignment horizontal="center" vertical="center"/>
    </xf>
    <xf numFmtId="0" fontId="32" fillId="13" borderId="4" xfId="0" applyFont="1" applyFill="1" applyBorder="1" applyAlignment="1" applyProtection="1">
      <alignment horizontal="center" vertical="center"/>
    </xf>
    <xf numFmtId="0" fontId="37" fillId="0" borderId="0" xfId="0" applyFont="1" applyBorder="1" applyAlignment="1" applyProtection="1">
      <alignment vertical="top"/>
    </xf>
    <xf numFmtId="0" fontId="19" fillId="0" borderId="13" xfId="0" applyFont="1" applyBorder="1" applyAlignment="1" applyProtection="1">
      <alignment vertical="top"/>
    </xf>
    <xf numFmtId="0" fontId="35" fillId="0" borderId="43" xfId="0" applyNumberFormat="1" applyFont="1" applyBorder="1" applyAlignment="1" applyProtection="1">
      <alignment horizontal="left" indent="1"/>
    </xf>
    <xf numFmtId="0" fontId="32" fillId="0" borderId="47" xfId="0" applyFont="1" applyBorder="1" applyProtection="1"/>
    <xf numFmtId="169" fontId="32" fillId="0" borderId="131" xfId="0" applyNumberFormat="1" applyFont="1" applyFill="1" applyBorder="1" applyAlignment="1" applyProtection="1">
      <alignment horizontal="center" vertical="center"/>
      <protection locked="0"/>
    </xf>
    <xf numFmtId="49" fontId="21" fillId="0" borderId="0" xfId="0" applyNumberFormat="1" applyFont="1" applyAlignment="1" applyProtection="1">
      <alignment horizontal="left" indent="2"/>
    </xf>
    <xf numFmtId="165" fontId="22" fillId="0" borderId="0" xfId="0" applyNumberFormat="1" applyFont="1" applyProtection="1"/>
    <xf numFmtId="38" fontId="24" fillId="0" borderId="0" xfId="0" applyNumberFormat="1" applyFont="1" applyProtection="1"/>
    <xf numFmtId="0" fontId="29" fillId="0" borderId="0" xfId="0" applyFont="1" applyProtection="1"/>
    <xf numFmtId="0" fontId="24" fillId="0" borderId="0" xfId="0" applyFont="1" applyAlignment="1" applyProtection="1"/>
    <xf numFmtId="0" fontId="52"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33" fillId="0" borderId="0" xfId="0" applyFont="1" applyProtection="1"/>
    <xf numFmtId="0" fontId="33"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165" fontId="32" fillId="0" borderId="72" xfId="0" applyNumberFormat="1" applyFont="1" applyBorder="1" applyAlignment="1" applyProtection="1">
      <alignment horizontal="center" vertical="center"/>
    </xf>
    <xf numFmtId="0" fontId="35" fillId="0" borderId="72" xfId="0" applyFont="1" applyBorder="1" applyAlignment="1" applyProtection="1">
      <alignment horizontal="left" vertical="center"/>
    </xf>
    <xf numFmtId="0" fontId="37" fillId="0" borderId="0" xfId="0" applyFont="1" applyBorder="1" applyAlignment="1" applyProtection="1">
      <alignment horizontal="left" vertical="center" wrapText="1"/>
    </xf>
    <xf numFmtId="165" fontId="19" fillId="0" borderId="0" xfId="0" applyNumberFormat="1" applyFont="1" applyBorder="1" applyProtection="1"/>
    <xf numFmtId="0" fontId="41" fillId="0" borderId="43" xfId="1" applyFont="1" applyBorder="1" applyAlignment="1" applyProtection="1">
      <alignment horizontal="center" vertical="top"/>
    </xf>
    <xf numFmtId="165" fontId="19" fillId="0" borderId="60" xfId="0" applyNumberFormat="1" applyFont="1" applyBorder="1" applyProtection="1"/>
    <xf numFmtId="0" fontId="24" fillId="0" borderId="4" xfId="0" applyFont="1" applyBorder="1" applyProtection="1"/>
    <xf numFmtId="165" fontId="32" fillId="0" borderId="113" xfId="52" applyNumberFormat="1" applyFont="1" applyBorder="1" applyAlignment="1" applyProtection="1">
      <alignment horizontal="right" vertical="center"/>
    </xf>
    <xf numFmtId="0" fontId="32" fillId="0" borderId="39" xfId="52" applyNumberFormat="1" applyFont="1" applyBorder="1" applyAlignment="1" applyProtection="1">
      <alignment horizontal="left" vertical="center"/>
    </xf>
    <xf numFmtId="0" fontId="24" fillId="0" borderId="0" xfId="52" applyNumberFormat="1" applyFont="1" applyBorder="1" applyAlignment="1" applyProtection="1">
      <alignment vertical="center"/>
    </xf>
    <xf numFmtId="0" fontId="24" fillId="0" borderId="40" xfId="52" applyNumberFormat="1" applyFont="1" applyBorder="1" applyAlignment="1" applyProtection="1">
      <alignment horizontal="center" vertical="center"/>
    </xf>
    <xf numFmtId="38" fontId="24" fillId="9" borderId="49" xfId="52" applyNumberFormat="1" applyFont="1" applyFill="1" applyBorder="1" applyAlignment="1" applyProtection="1">
      <alignment vertical="center" shrinkToFit="1"/>
    </xf>
    <xf numFmtId="0" fontId="24" fillId="0" borderId="92" xfId="52" applyNumberFormat="1" applyFont="1" applyBorder="1" applyAlignment="1" applyProtection="1">
      <alignment vertical="center"/>
    </xf>
    <xf numFmtId="0" fontId="2" fillId="0" borderId="0" xfId="54" applyProtection="1"/>
    <xf numFmtId="165" fontId="32" fillId="0" borderId="109" xfId="52" applyNumberFormat="1" applyFont="1" applyBorder="1" applyAlignment="1" applyProtection="1">
      <alignment horizontal="right"/>
    </xf>
    <xf numFmtId="0" fontId="32" fillId="0" borderId="34" xfId="52" applyNumberFormat="1" applyFont="1" applyFill="1" applyBorder="1" applyAlignment="1" applyProtection="1">
      <alignment wrapText="1"/>
    </xf>
    <xf numFmtId="0" fontId="24" fillId="14" borderId="130" xfId="52" applyNumberFormat="1" applyFont="1" applyFill="1" applyBorder="1" applyAlignment="1" applyProtection="1">
      <alignment vertical="center" shrinkToFit="1"/>
    </xf>
    <xf numFmtId="165" fontId="32" fillId="0" borderId="112" xfId="52" applyNumberFormat="1" applyFont="1" applyBorder="1" applyAlignment="1" applyProtection="1">
      <alignment horizontal="right" vertical="center"/>
    </xf>
    <xf numFmtId="0" fontId="32" fillId="0" borderId="37" xfId="52" applyNumberFormat="1" applyFont="1" applyFill="1" applyBorder="1" applyAlignment="1" applyProtection="1">
      <alignment vertical="top" wrapText="1"/>
    </xf>
    <xf numFmtId="0" fontId="24" fillId="14" borderId="38" xfId="52" applyNumberFormat="1" applyFont="1" applyFill="1" applyBorder="1" applyAlignment="1" applyProtection="1">
      <alignment vertical="center" shrinkToFit="1"/>
    </xf>
    <xf numFmtId="0" fontId="31" fillId="0" borderId="91" xfId="52" applyNumberFormat="1" applyFont="1" applyBorder="1" applyAlignment="1" applyProtection="1">
      <alignment horizontal="left" vertical="center"/>
    </xf>
    <xf numFmtId="0" fontId="24" fillId="0" borderId="0" xfId="52" applyNumberFormat="1" applyFont="1" applyBorder="1" applyAlignment="1" applyProtection="1">
      <alignment horizontal="right" vertical="center"/>
    </xf>
    <xf numFmtId="0" fontId="24" fillId="0" borderId="91" xfId="52" applyNumberFormat="1" applyFont="1" applyFill="1" applyBorder="1" applyAlignment="1" applyProtection="1">
      <alignment vertical="center"/>
    </xf>
    <xf numFmtId="0" fontId="24" fillId="0" borderId="0" xfId="52" applyNumberFormat="1" applyFont="1" applyFill="1" applyBorder="1" applyAlignment="1" applyProtection="1">
      <alignment horizontal="right" vertical="center"/>
    </xf>
    <xf numFmtId="0" fontId="24" fillId="0" borderId="0" xfId="52" applyNumberFormat="1" applyFont="1" applyFill="1" applyBorder="1" applyAlignment="1" applyProtection="1">
      <alignment vertical="center"/>
    </xf>
    <xf numFmtId="0" fontId="48" fillId="0" borderId="91" xfId="52" applyNumberFormat="1" applyFont="1" applyBorder="1" applyAlignment="1" applyProtection="1">
      <alignment vertical="center"/>
    </xf>
    <xf numFmtId="0" fontId="24" fillId="0" borderId="91" xfId="52" applyNumberFormat="1" applyFont="1" applyBorder="1" applyAlignment="1" applyProtection="1">
      <alignment vertical="center"/>
    </xf>
    <xf numFmtId="167" fontId="24" fillId="0" borderId="0" xfId="52" applyNumberFormat="1" applyFont="1" applyBorder="1" applyAlignment="1" applyProtection="1">
      <alignment horizontal="center"/>
    </xf>
    <xf numFmtId="0" fontId="48" fillId="0" borderId="0" xfId="52" applyNumberFormat="1" applyFont="1" applyBorder="1" applyAlignment="1" applyProtection="1">
      <alignment horizontal="center" vertical="center"/>
    </xf>
    <xf numFmtId="0" fontId="48" fillId="0" borderId="0" xfId="52" applyNumberFormat="1" applyFont="1" applyBorder="1" applyAlignment="1" applyProtection="1">
      <alignment vertical="center" wrapText="1"/>
    </xf>
    <xf numFmtId="0" fontId="24" fillId="0" borderId="0" xfId="52" applyNumberFormat="1" applyFont="1" applyBorder="1" applyAlignment="1" applyProtection="1">
      <alignment wrapText="1"/>
    </xf>
    <xf numFmtId="0" fontId="48" fillId="0" borderId="0" xfId="52" applyNumberFormat="1" applyFont="1" applyBorder="1" applyAlignment="1" applyProtection="1">
      <alignment horizontal="center"/>
    </xf>
    <xf numFmtId="0" fontId="48" fillId="0" borderId="0" xfId="52" applyNumberFormat="1" applyFont="1" applyBorder="1" applyAlignment="1" applyProtection="1"/>
    <xf numFmtId="0" fontId="32" fillId="0" borderId="0" xfId="52" applyNumberFormat="1" applyFont="1" applyBorder="1" applyAlignment="1" applyProtection="1">
      <alignment horizontal="right"/>
    </xf>
    <xf numFmtId="0" fontId="24" fillId="0" borderId="0" xfId="52" applyNumberFormat="1" applyFont="1" applyBorder="1" applyAlignment="1" applyProtection="1">
      <alignment horizontal="center" wrapText="1"/>
    </xf>
    <xf numFmtId="0" fontId="48" fillId="0" borderId="0" xfId="52" applyFont="1" applyBorder="1" applyAlignment="1" applyProtection="1">
      <alignment horizontal="center" vertical="center" wrapText="1"/>
    </xf>
    <xf numFmtId="0" fontId="50" fillId="0" borderId="0" xfId="52" applyNumberFormat="1" applyFont="1" applyBorder="1" applyAlignment="1" applyProtection="1">
      <alignment vertical="center"/>
    </xf>
    <xf numFmtId="0" fontId="32" fillId="0" borderId="0" xfId="52" applyNumberFormat="1" applyFont="1" applyBorder="1" applyAlignment="1" applyProtection="1">
      <alignment vertical="center"/>
    </xf>
    <xf numFmtId="0" fontId="32" fillId="0" borderId="0" xfId="52" applyNumberFormat="1" applyFont="1" applyBorder="1" applyAlignment="1" applyProtection="1">
      <alignment horizontal="center" vertical="center"/>
    </xf>
    <xf numFmtId="0" fontId="24" fillId="0" borderId="0" xfId="52" applyFont="1" applyFill="1" applyBorder="1" applyAlignment="1" applyProtection="1">
      <alignment horizontal="left" vertical="top" wrapText="1" indent="2"/>
    </xf>
    <xf numFmtId="0" fontId="24" fillId="0" borderId="93" xfId="52" applyNumberFormat="1" applyFont="1" applyBorder="1" applyAlignment="1" applyProtection="1">
      <alignment vertical="center"/>
    </xf>
    <xf numFmtId="0" fontId="24" fillId="0" borderId="94" xfId="52" applyNumberFormat="1" applyFont="1" applyBorder="1" applyAlignment="1" applyProtection="1">
      <alignment vertical="center"/>
    </xf>
    <xf numFmtId="0" fontId="24" fillId="0" borderId="94" xfId="52" applyFont="1" applyFill="1" applyBorder="1" applyAlignment="1" applyProtection="1">
      <alignment horizontal="left" vertical="top" wrapText="1" indent="2"/>
    </xf>
    <xf numFmtId="0" fontId="24" fillId="0" borderId="95" xfId="52" applyNumberFormat="1" applyFont="1" applyBorder="1" applyAlignment="1" applyProtection="1">
      <alignment vertical="center"/>
    </xf>
    <xf numFmtId="38" fontId="24" fillId="9" borderId="1" xfId="52" applyNumberFormat="1" applyFont="1" applyFill="1" applyBorder="1" applyAlignment="1" applyProtection="1">
      <alignment vertical="center" shrinkToFit="1"/>
    </xf>
    <xf numFmtId="0" fontId="24" fillId="14" borderId="1" xfId="52" applyNumberFormat="1" applyFont="1" applyFill="1" applyBorder="1" applyAlignment="1" applyProtection="1">
      <alignment vertical="center" shrinkToFit="1"/>
    </xf>
    <xf numFmtId="0" fontId="24" fillId="0" borderId="39" xfId="52" applyNumberFormat="1" applyFont="1" applyBorder="1" applyAlignment="1" applyProtection="1">
      <alignment horizontal="left" vertical="center"/>
    </xf>
    <xf numFmtId="0" fontId="24" fillId="0" borderId="40" xfId="52" applyNumberFormat="1" applyFont="1" applyBorder="1" applyAlignment="1" applyProtection="1">
      <alignment horizontal="left" vertical="center"/>
    </xf>
    <xf numFmtId="0" fontId="24" fillId="0" borderId="1" xfId="52" applyNumberFormat="1" applyFont="1" applyBorder="1" applyAlignment="1" applyProtection="1">
      <alignment horizontal="center" vertical="center"/>
    </xf>
    <xf numFmtId="0" fontId="24" fillId="0" borderId="1" xfId="52" applyNumberFormat="1" applyFont="1" applyBorder="1" applyAlignment="1" applyProtection="1">
      <alignment horizontal="center" vertical="top"/>
    </xf>
    <xf numFmtId="165" fontId="32" fillId="0" borderId="113" xfId="52" applyNumberFormat="1" applyFont="1" applyBorder="1" applyAlignment="1" applyProtection="1">
      <alignment vertical="top"/>
    </xf>
    <xf numFmtId="0" fontId="62" fillId="0" borderId="89" xfId="52" applyNumberFormat="1" applyFont="1" applyBorder="1" applyAlignment="1" applyProtection="1">
      <alignment horizontal="left" vertical="center"/>
    </xf>
    <xf numFmtId="0" fontId="24" fillId="0" borderId="89" xfId="52" applyNumberFormat="1" applyFont="1" applyBorder="1" applyAlignment="1" applyProtection="1">
      <alignment vertical="center"/>
    </xf>
    <xf numFmtId="0" fontId="24" fillId="0" borderId="90" xfId="52" applyNumberFormat="1" applyFont="1" applyBorder="1" applyAlignment="1" applyProtection="1">
      <alignment vertical="center"/>
    </xf>
    <xf numFmtId="0" fontId="62" fillId="0" borderId="0" xfId="52" applyNumberFormat="1" applyFont="1" applyBorder="1" applyAlignment="1" applyProtection="1">
      <alignment vertical="center"/>
    </xf>
    <xf numFmtId="0" fontId="65" fillId="0" borderId="91" xfId="0" applyNumberFormat="1" applyFont="1" applyBorder="1" applyAlignment="1" applyProtection="1">
      <alignment vertical="center"/>
    </xf>
    <xf numFmtId="0" fontId="24" fillId="0" borderId="0" xfId="52" applyNumberFormat="1" applyFont="1" applyBorder="1" applyAlignment="1" applyProtection="1">
      <alignment horizontal="center" vertical="center"/>
    </xf>
    <xf numFmtId="0" fontId="35" fillId="0" borderId="91" xfId="0" applyNumberFormat="1" applyFont="1" applyBorder="1" applyAlignment="1" applyProtection="1">
      <alignment vertical="center"/>
    </xf>
    <xf numFmtId="0" fontId="64" fillId="0" borderId="0" xfId="52" applyNumberFormat="1" applyFont="1" applyBorder="1" applyAlignment="1" applyProtection="1">
      <alignment vertical="center"/>
    </xf>
    <xf numFmtId="0" fontId="64" fillId="0" borderId="0" xfId="52" applyNumberFormat="1" applyFont="1" applyBorder="1" applyAlignment="1" applyProtection="1">
      <alignment vertical="center" wrapText="1"/>
    </xf>
    <xf numFmtId="0" fontId="64" fillId="0" borderId="92" xfId="52" applyNumberFormat="1" applyFont="1" applyBorder="1" applyAlignment="1" applyProtection="1">
      <alignment vertical="center" wrapText="1"/>
    </xf>
    <xf numFmtId="0" fontId="64" fillId="0" borderId="91" xfId="52" applyNumberFormat="1" applyFont="1" applyBorder="1" applyAlignment="1" applyProtection="1">
      <alignment vertical="top"/>
    </xf>
    <xf numFmtId="0" fontId="23" fillId="0" borderId="91" xfId="52" applyNumberFormat="1" applyFont="1" applyBorder="1" applyAlignment="1" applyProtection="1">
      <alignment horizontal="left" vertical="center" wrapText="1"/>
    </xf>
    <xf numFmtId="0" fontId="23" fillId="0" borderId="0" xfId="52" applyNumberFormat="1" applyFont="1" applyBorder="1" applyAlignment="1" applyProtection="1">
      <alignment horizontal="left" vertical="center" wrapText="1"/>
    </xf>
    <xf numFmtId="0" fontId="23" fillId="0" borderId="92" xfId="52" applyNumberFormat="1" applyFont="1" applyBorder="1" applyAlignment="1" applyProtection="1">
      <alignment horizontal="left" vertical="center" wrapText="1"/>
    </xf>
    <xf numFmtId="0" fontId="64" fillId="0" borderId="91" xfId="52" applyNumberFormat="1" applyFont="1" applyBorder="1" applyAlignment="1" applyProtection="1">
      <alignment vertical="center"/>
    </xf>
    <xf numFmtId="0" fontId="64" fillId="0" borderId="91" xfId="52" applyNumberFormat="1" applyFont="1" applyBorder="1" applyAlignment="1" applyProtection="1">
      <alignment horizontal="left" vertical="center"/>
    </xf>
    <xf numFmtId="0" fontId="63" fillId="0" borderId="0" xfId="1" applyNumberFormat="1" applyFont="1" applyBorder="1" applyAlignment="1" applyProtection="1">
      <alignment vertical="center"/>
    </xf>
    <xf numFmtId="0" fontId="23" fillId="0" borderId="91" xfId="52" applyNumberFormat="1" applyFont="1" applyBorder="1" applyAlignment="1" applyProtection="1">
      <alignment vertical="center"/>
    </xf>
    <xf numFmtId="0" fontId="32" fillId="22" borderId="109" xfId="52" applyNumberFormat="1" applyFont="1" applyFill="1" applyBorder="1" applyAlignment="1" applyProtection="1">
      <alignment horizontal="left"/>
    </xf>
    <xf numFmtId="0" fontId="24" fillId="22" borderId="30" xfId="52" applyFont="1" applyFill="1" applyBorder="1" applyAlignment="1" applyProtection="1">
      <alignment horizontal="left" vertical="center"/>
    </xf>
    <xf numFmtId="0" fontId="24" fillId="22" borderId="34" xfId="52" applyFont="1" applyFill="1" applyBorder="1" applyAlignment="1" applyProtection="1">
      <alignment horizontal="left" vertical="center"/>
    </xf>
    <xf numFmtId="0" fontId="24" fillId="0" borderId="32" xfId="52" applyNumberFormat="1" applyFont="1" applyBorder="1" applyAlignment="1" applyProtection="1">
      <alignment horizontal="center" vertical="center"/>
    </xf>
    <xf numFmtId="0" fontId="24" fillId="0" borderId="0" xfId="52" applyNumberFormat="1" applyFont="1" applyBorder="1" applyAlignment="1" applyProtection="1">
      <alignment horizontal="right" vertical="center" indent="1"/>
    </xf>
    <xf numFmtId="0" fontId="24" fillId="0" borderId="32" xfId="52" applyNumberFormat="1" applyFont="1" applyBorder="1" applyAlignment="1" applyProtection="1">
      <alignment vertical="center"/>
    </xf>
    <xf numFmtId="0" fontId="24" fillId="22" borderId="112" xfId="52" applyNumberFormat="1" applyFont="1" applyFill="1" applyBorder="1" applyAlignment="1" applyProtection="1">
      <alignment vertical="center"/>
    </xf>
    <xf numFmtId="0" fontId="24" fillId="22" borderId="36" xfId="52" applyNumberFormat="1" applyFont="1" applyFill="1" applyBorder="1" applyAlignment="1" applyProtection="1">
      <alignment vertical="center"/>
    </xf>
    <xf numFmtId="0" fontId="24" fillId="22" borderId="37" xfId="52" applyNumberFormat="1" applyFont="1" applyFill="1" applyBorder="1" applyAlignment="1" applyProtection="1">
      <alignment vertical="center"/>
    </xf>
    <xf numFmtId="0" fontId="24" fillId="0" borderId="35" xfId="52" applyNumberFormat="1" applyFont="1" applyBorder="1" applyAlignment="1" applyProtection="1">
      <alignment vertical="center"/>
    </xf>
    <xf numFmtId="0" fontId="24" fillId="0" borderId="36" xfId="52" applyNumberFormat="1" applyFont="1" applyBorder="1" applyAlignment="1" applyProtection="1">
      <alignment vertical="center"/>
    </xf>
    <xf numFmtId="0" fontId="24" fillId="0" borderId="109" xfId="52" applyNumberFormat="1" applyFont="1" applyBorder="1" applyAlignment="1" applyProtection="1">
      <alignment vertical="center"/>
    </xf>
    <xf numFmtId="0" fontId="24" fillId="0" borderId="30" xfId="52" applyNumberFormat="1" applyFont="1" applyBorder="1" applyAlignment="1" applyProtection="1">
      <alignment vertical="center"/>
    </xf>
    <xf numFmtId="0" fontId="24" fillId="0" borderId="31" xfId="52" applyNumberFormat="1" applyFont="1" applyBorder="1" applyAlignment="1" applyProtection="1">
      <alignment vertical="center"/>
    </xf>
    <xf numFmtId="0" fontId="32" fillId="0" borderId="29" xfId="52" applyNumberFormat="1" applyFont="1" applyFill="1" applyBorder="1" applyAlignment="1" applyProtection="1">
      <alignment horizontal="centerContinuous" vertical="center"/>
    </xf>
    <xf numFmtId="0" fontId="24" fillId="0" borderId="30" xfId="52" applyNumberFormat="1" applyFont="1" applyFill="1" applyBorder="1" applyAlignment="1" applyProtection="1">
      <alignment horizontal="centerContinuous" vertical="center"/>
    </xf>
    <xf numFmtId="0" fontId="32" fillId="0" borderId="31" xfId="52" applyNumberFormat="1" applyFont="1" applyFill="1" applyBorder="1" applyAlignment="1" applyProtection="1">
      <alignment horizontal="centerContinuous" vertical="center"/>
    </xf>
    <xf numFmtId="0" fontId="24" fillId="0" borderId="34" xfId="52" applyNumberFormat="1" applyFont="1" applyFill="1" applyBorder="1" applyAlignment="1" applyProtection="1">
      <alignment horizontal="centerContinuous" vertical="center"/>
    </xf>
    <xf numFmtId="0" fontId="24" fillId="0" borderId="0" xfId="52" applyNumberFormat="1" applyFont="1" applyFill="1" applyBorder="1" applyAlignment="1" applyProtection="1">
      <alignment horizontal="center" vertical="center"/>
    </xf>
    <xf numFmtId="0" fontId="24" fillId="0" borderId="33" xfId="52" applyNumberFormat="1" applyFont="1" applyFill="1" applyBorder="1" applyAlignment="1" applyProtection="1">
      <alignment vertical="center"/>
    </xf>
    <xf numFmtId="0" fontId="32" fillId="0" borderId="34" xfId="52" applyNumberFormat="1" applyFont="1" applyBorder="1" applyAlignment="1" applyProtection="1">
      <alignment horizontal="center" vertical="center"/>
    </xf>
    <xf numFmtId="0" fontId="32" fillId="0" borderId="31" xfId="52" applyNumberFormat="1" applyFont="1" applyBorder="1" applyAlignment="1" applyProtection="1">
      <alignment horizontal="center" vertical="center"/>
    </xf>
    <xf numFmtId="0" fontId="32" fillId="0" borderId="31" xfId="55" quotePrefix="1" applyNumberFormat="1" applyFont="1" applyBorder="1" applyAlignment="1" applyProtection="1">
      <alignment horizontal="center" vertical="center"/>
    </xf>
    <xf numFmtId="0" fontId="24" fillId="0" borderId="31" xfId="52" applyNumberFormat="1" applyFont="1" applyBorder="1" applyAlignment="1" applyProtection="1">
      <alignment horizontal="center" vertical="center"/>
    </xf>
    <xf numFmtId="0" fontId="32" fillId="0" borderId="38" xfId="52" applyNumberFormat="1" applyFont="1" applyBorder="1" applyAlignment="1" applyProtection="1">
      <alignment horizontal="center" vertical="center" wrapText="1"/>
    </xf>
    <xf numFmtId="0" fontId="32" fillId="0" borderId="38" xfId="55" applyNumberFormat="1" applyFont="1" applyBorder="1" applyAlignment="1" applyProtection="1">
      <alignment horizontal="center" vertical="center" wrapText="1"/>
    </xf>
    <xf numFmtId="0" fontId="32" fillId="0" borderId="38" xfId="52" applyNumberFormat="1" applyFont="1" applyBorder="1" applyAlignment="1" applyProtection="1">
      <alignment horizontal="center" vertical="center"/>
    </xf>
    <xf numFmtId="38" fontId="23" fillId="0" borderId="0" xfId="0" applyNumberFormat="1" applyFont="1" applyBorder="1" applyProtection="1"/>
    <xf numFmtId="0" fontId="21" fillId="0" borderId="51"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0" xfId="0" applyFont="1" applyBorder="1" applyProtection="1"/>
    <xf numFmtId="0" fontId="55" fillId="0" borderId="0" xfId="1" applyFont="1" applyBorder="1" applyAlignment="1" applyProtection="1">
      <alignment horizontal="left" vertical="top"/>
    </xf>
    <xf numFmtId="0" fontId="37" fillId="0" borderId="0" xfId="0" applyFont="1" applyAlignment="1" applyProtection="1">
      <alignment horizontal="left" vertical="top"/>
    </xf>
    <xf numFmtId="0" fontId="23" fillId="0" borderId="132" xfId="0" applyFont="1" applyBorder="1" applyAlignment="1" applyProtection="1">
      <alignment horizontal="left" vertical="center" wrapText="1"/>
      <protection locked="0"/>
    </xf>
    <xf numFmtId="38" fontId="23" fillId="0" borderId="132" xfId="0" applyNumberFormat="1" applyFont="1" applyBorder="1" applyAlignment="1" applyProtection="1">
      <alignment horizontal="right" vertical="center"/>
      <protection locked="0"/>
    </xf>
    <xf numFmtId="0" fontId="19" fillId="0" borderId="0" xfId="0" applyFont="1" applyProtection="1"/>
    <xf numFmtId="0" fontId="24" fillId="0" borderId="43" xfId="0" applyFont="1" applyBorder="1" applyAlignment="1" applyProtection="1">
      <alignment horizontal="center"/>
      <protection locked="0"/>
    </xf>
    <xf numFmtId="0" fontId="24" fillId="0" borderId="43" xfId="0" applyFont="1" applyBorder="1" applyAlignment="1" applyProtection="1">
      <alignment horizontal="center" vertical="center"/>
      <protection locked="0"/>
    </xf>
    <xf numFmtId="49" fontId="24" fillId="0" borderId="43" xfId="0" applyNumberFormat="1" applyFont="1" applyBorder="1" applyAlignment="1" applyProtection="1">
      <alignment horizontal="center"/>
      <protection locked="0"/>
    </xf>
    <xf numFmtId="49" fontId="22" fillId="4" borderId="28" xfId="21" applyNumberFormat="1" applyFont="1" applyFill="1" applyBorder="1" applyAlignment="1" applyProtection="1">
      <alignment horizontal="left" vertical="center" wrapText="1" indent="2"/>
    </xf>
    <xf numFmtId="49" fontId="22" fillId="4" borderId="28" xfId="48" applyNumberFormat="1" applyFont="1" applyFill="1" applyBorder="1" applyAlignment="1" applyProtection="1">
      <alignment horizontal="left" vertical="center" wrapText="1" indent="3"/>
    </xf>
    <xf numFmtId="49" fontId="21" fillId="0" borderId="3" xfId="51" applyNumberFormat="1" applyFont="1" applyBorder="1" applyAlignment="1" applyProtection="1">
      <alignment horizontal="center" vertical="center" wrapText="1"/>
    </xf>
    <xf numFmtId="0" fontId="20" fillId="0" borderId="0" xfId="34" applyFont="1" applyFill="1" applyProtection="1"/>
    <xf numFmtId="0" fontId="22" fillId="4" borderId="24" xfId="33" applyFont="1" applyFill="1" applyBorder="1" applyAlignment="1" applyProtection="1">
      <alignment horizontal="left" vertical="center" wrapText="1" indent="2"/>
    </xf>
    <xf numFmtId="0" fontId="19" fillId="4" borderId="63" xfId="33" applyFont="1" applyFill="1" applyBorder="1" applyAlignment="1" applyProtection="1">
      <alignment horizontal="left" vertical="center" indent="1"/>
    </xf>
    <xf numFmtId="0" fontId="24" fillId="0" borderId="50" xfId="34" applyFont="1" applyBorder="1" applyAlignment="1" applyProtection="1">
      <alignment horizontal="center" vertical="center" wrapText="1"/>
    </xf>
    <xf numFmtId="0" fontId="22" fillId="4" borderId="7" xfId="33" applyFont="1" applyFill="1" applyBorder="1" applyAlignment="1" applyProtection="1">
      <alignment horizontal="left" vertical="center" indent="2"/>
    </xf>
    <xf numFmtId="0" fontId="19" fillId="4" borderId="16" xfId="33" applyFont="1" applyFill="1" applyBorder="1" applyAlignment="1" applyProtection="1">
      <alignment horizontal="left" vertical="center" indent="1"/>
    </xf>
    <xf numFmtId="0" fontId="22" fillId="21" borderId="58" xfId="33" applyFont="1" applyFill="1" applyBorder="1" applyAlignment="1" applyProtection="1">
      <alignment horizontal="left" vertical="center" wrapText="1" indent="2"/>
    </xf>
    <xf numFmtId="0" fontId="19" fillId="21" borderId="108" xfId="33" applyFont="1" applyFill="1" applyBorder="1" applyAlignment="1" applyProtection="1">
      <alignment horizontal="left" vertical="center" indent="1"/>
    </xf>
    <xf numFmtId="0" fontId="22" fillId="21" borderId="58" xfId="34" applyFont="1" applyFill="1" applyBorder="1" applyAlignment="1" applyProtection="1">
      <alignment horizontal="left" vertical="center" indent="2"/>
    </xf>
    <xf numFmtId="0" fontId="24" fillId="21" borderId="108" xfId="0" applyFont="1" applyFill="1" applyBorder="1" applyAlignment="1" applyProtection="1"/>
    <xf numFmtId="0" fontId="24" fillId="0" borderId="16" xfId="34" applyFont="1" applyBorder="1" applyAlignment="1" applyProtection="1">
      <alignment horizontal="center" vertical="center" wrapText="1"/>
    </xf>
    <xf numFmtId="0" fontId="22" fillId="4" borderId="24" xfId="34" applyFont="1" applyFill="1" applyBorder="1" applyAlignment="1" applyProtection="1">
      <alignment horizontal="left" vertical="center" indent="2"/>
    </xf>
    <xf numFmtId="0" fontId="24" fillId="4" borderId="63" xfId="0" applyFont="1" applyFill="1" applyBorder="1" applyAlignment="1" applyProtection="1"/>
    <xf numFmtId="0" fontId="19" fillId="0" borderId="7" xfId="34" applyFont="1" applyBorder="1" applyAlignment="1" applyProtection="1">
      <alignment horizontal="left" indent="1"/>
    </xf>
    <xf numFmtId="0" fontId="19" fillId="0" borderId="15" xfId="34" applyFont="1" applyBorder="1" applyAlignment="1" applyProtection="1">
      <alignment horizontal="center" vertical="center"/>
    </xf>
    <xf numFmtId="0" fontId="19" fillId="0" borderId="7" xfId="34" applyFont="1" applyBorder="1" applyAlignment="1" applyProtection="1">
      <alignment horizontal="left" wrapText="1" indent="1"/>
    </xf>
    <xf numFmtId="0" fontId="19" fillId="0" borderId="15" xfId="34" applyFont="1" applyBorder="1" applyAlignment="1" applyProtection="1">
      <alignment horizontal="center" vertical="top"/>
    </xf>
    <xf numFmtId="0" fontId="19" fillId="0" borderId="14" xfId="34" applyFont="1" applyBorder="1" applyAlignment="1" applyProtection="1">
      <alignment horizontal="left" vertical="center" indent="1"/>
    </xf>
    <xf numFmtId="0" fontId="22" fillId="4" borderId="28" xfId="33" applyFont="1" applyFill="1" applyBorder="1" applyAlignment="1" applyProtection="1">
      <alignment horizontal="left" vertical="center" indent="2"/>
    </xf>
    <xf numFmtId="0" fontId="19" fillId="4" borderId="50" xfId="33" applyFont="1" applyFill="1" applyBorder="1" applyAlignment="1" applyProtection="1">
      <alignment horizontal="left" vertical="center" indent="1"/>
    </xf>
    <xf numFmtId="0" fontId="21" fillId="10" borderId="21" xfId="34" applyFont="1" applyFill="1" applyBorder="1" applyAlignment="1" applyProtection="1">
      <alignment vertical="center"/>
    </xf>
    <xf numFmtId="0" fontId="19" fillId="10" borderId="67" xfId="0" applyFont="1" applyFill="1" applyBorder="1" applyAlignment="1" applyProtection="1">
      <alignment horizontal="left" vertical="center" wrapText="1"/>
    </xf>
    <xf numFmtId="0" fontId="20" fillId="0" borderId="0" xfId="34" applyFont="1" applyAlignment="1" applyProtection="1">
      <alignment vertical="center"/>
    </xf>
    <xf numFmtId="0" fontId="19" fillId="0" borderId="15" xfId="34" applyFont="1" applyBorder="1" applyAlignment="1" applyProtection="1">
      <alignment horizontal="center" vertical="top" wrapText="1"/>
    </xf>
    <xf numFmtId="0" fontId="19" fillId="0" borderId="15" xfId="34" applyFont="1" applyBorder="1" applyAlignment="1" applyProtection="1">
      <alignment horizontal="center" vertical="center" wrapText="1"/>
    </xf>
    <xf numFmtId="0" fontId="19" fillId="0" borderId="15" xfId="34" applyFont="1" applyBorder="1" applyAlignment="1" applyProtection="1">
      <alignment horizontal="center"/>
    </xf>
    <xf numFmtId="0" fontId="19" fillId="0" borderId="14" xfId="34" applyFont="1" applyBorder="1" applyAlignment="1" applyProtection="1">
      <alignment horizontal="left" indent="1"/>
    </xf>
    <xf numFmtId="0" fontId="19" fillId="0" borderId="3" xfId="34" applyFont="1" applyBorder="1" applyAlignment="1" applyProtection="1">
      <alignment horizontal="center"/>
    </xf>
    <xf numFmtId="0" fontId="19" fillId="10" borderId="67" xfId="34" applyFont="1" applyFill="1" applyBorder="1" applyAlignment="1" applyProtection="1">
      <alignment horizontal="left" vertical="center" indent="1"/>
    </xf>
    <xf numFmtId="0" fontId="21" fillId="0" borderId="2" xfId="34" applyFont="1" applyBorder="1" applyProtection="1"/>
    <xf numFmtId="0" fontId="21" fillId="0" borderId="2" xfId="51" applyFont="1" applyBorder="1" applyAlignment="1" applyProtection="1">
      <alignment vertical="center" wrapText="1"/>
    </xf>
    <xf numFmtId="49" fontId="21" fillId="0" borderId="2" xfId="34" applyNumberFormat="1" applyFont="1" applyBorder="1" applyAlignment="1" applyProtection="1">
      <alignment horizontal="center" vertical="center"/>
    </xf>
    <xf numFmtId="0" fontId="21" fillId="0" borderId="3" xfId="0" applyFont="1" applyBorder="1" applyAlignment="1" applyProtection="1">
      <alignment horizontal="center" vertical="center" wrapText="1"/>
    </xf>
    <xf numFmtId="49" fontId="21" fillId="0" borderId="3" xfId="2" applyNumberFormat="1" applyFont="1" applyBorder="1" applyAlignment="1" applyProtection="1">
      <alignment horizontal="center" vertical="center" wrapText="1"/>
    </xf>
    <xf numFmtId="0" fontId="81" fillId="0" borderId="0" xfId="0" applyFont="1" applyAlignment="1" applyProtection="1">
      <alignment horizontal="left" vertical="center" readingOrder="1"/>
    </xf>
    <xf numFmtId="0" fontId="81" fillId="0" borderId="0" xfId="0" applyFont="1" applyAlignment="1" applyProtection="1">
      <alignment horizontal="left" readingOrder="1"/>
    </xf>
    <xf numFmtId="0" fontId="82" fillId="0" borderId="0" xfId="0" applyFont="1" applyAlignment="1" applyProtection="1">
      <alignment horizontal="left" readingOrder="1"/>
    </xf>
    <xf numFmtId="0" fontId="81" fillId="0" borderId="0" xfId="0" applyFont="1" applyProtection="1"/>
    <xf numFmtId="168" fontId="0" fillId="0" borderId="0" xfId="0" applyNumberFormat="1" applyAlignment="1">
      <alignment horizontal="left"/>
    </xf>
    <xf numFmtId="0" fontId="86" fillId="0" borderId="0" xfId="0" applyFont="1"/>
    <xf numFmtId="38" fontId="23" fillId="0" borderId="133" xfId="47" applyNumberFormat="1" applyFont="1" applyBorder="1" applyAlignment="1" applyProtection="1">
      <alignment horizontal="right"/>
      <protection locked="0"/>
    </xf>
    <xf numFmtId="38" fontId="23" fillId="0" borderId="134" xfId="47" applyNumberFormat="1" applyFont="1" applyBorder="1" applyAlignment="1" applyProtection="1">
      <alignment horizontal="right"/>
      <protection locked="0"/>
    </xf>
    <xf numFmtId="38" fontId="23" fillId="3" borderId="14" xfId="39" applyNumberFormat="1" applyFont="1" applyFill="1" applyBorder="1" applyAlignment="1" applyProtection="1">
      <alignment horizontal="right"/>
    </xf>
    <xf numFmtId="38" fontId="23" fillId="3" borderId="47" xfId="39" applyNumberFormat="1" applyFont="1" applyFill="1" applyBorder="1" applyAlignment="1" applyProtection="1">
      <alignment horizontal="right"/>
    </xf>
    <xf numFmtId="38" fontId="24" fillId="3" borderId="135" xfId="0" applyNumberFormat="1" applyFont="1" applyFill="1" applyBorder="1" applyAlignment="1" applyProtection="1">
      <alignment horizontal="right" vertical="center"/>
    </xf>
    <xf numFmtId="38" fontId="24" fillId="3" borderId="39" xfId="0" applyNumberFormat="1" applyFont="1" applyFill="1" applyBorder="1" applyAlignment="1" applyProtection="1">
      <alignment horizontal="right" vertical="center"/>
    </xf>
    <xf numFmtId="38" fontId="24" fillId="3" borderId="136" xfId="0" applyNumberFormat="1" applyFont="1" applyFill="1" applyBorder="1" applyAlignment="1" applyProtection="1">
      <alignment horizontal="right" vertical="center"/>
    </xf>
    <xf numFmtId="38" fontId="24" fillId="3" borderId="37" xfId="0" applyNumberFormat="1" applyFont="1" applyFill="1" applyBorder="1" applyAlignment="1" applyProtection="1">
      <alignment horizontal="right" vertical="center"/>
    </xf>
    <xf numFmtId="38" fontId="24" fillId="3" borderId="137" xfId="0" applyNumberFormat="1" applyFont="1" applyFill="1" applyBorder="1" applyAlignment="1" applyProtection="1">
      <alignment horizontal="right" vertical="center"/>
    </xf>
    <xf numFmtId="38" fontId="24" fillId="3" borderId="67" xfId="0" applyNumberFormat="1" applyFont="1" applyFill="1" applyBorder="1" applyAlignment="1" applyProtection="1">
      <alignment horizontal="right" vertical="center"/>
    </xf>
    <xf numFmtId="38" fontId="24" fillId="3" borderId="61" xfId="0" applyNumberFormat="1" applyFont="1" applyFill="1" applyBorder="1" applyAlignment="1" applyProtection="1">
      <alignment horizontal="right" vertical="center"/>
    </xf>
    <xf numFmtId="49" fontId="21" fillId="3" borderId="138" xfId="48" applyNumberFormat="1" applyFont="1" applyFill="1" applyBorder="1" applyAlignment="1" applyProtection="1">
      <alignment horizontal="left" vertical="center" wrapText="1" indent="2"/>
    </xf>
    <xf numFmtId="0" fontId="21" fillId="3" borderId="14" xfId="38" applyFont="1" applyFill="1" applyBorder="1" applyAlignment="1" applyProtection="1">
      <alignment horizontal="center" vertical="center"/>
    </xf>
    <xf numFmtId="38" fontId="23" fillId="0" borderId="133" xfId="45" applyNumberFormat="1" applyFont="1" applyBorder="1" applyAlignment="1" applyProtection="1">
      <alignment horizontal="right"/>
      <protection locked="0"/>
    </xf>
    <xf numFmtId="38" fontId="0" fillId="0" borderId="0" xfId="0" applyNumberFormat="1" applyAlignment="1">
      <alignment horizontal="right"/>
    </xf>
    <xf numFmtId="38" fontId="6" fillId="0" borderId="0" xfId="0" applyNumberFormat="1" applyFont="1" applyFill="1"/>
    <xf numFmtId="0" fontId="6" fillId="0" borderId="0" xfId="0" applyFont="1" applyFill="1"/>
    <xf numFmtId="0" fontId="24" fillId="4" borderId="50" xfId="0" applyFont="1" applyFill="1" applyBorder="1" applyAlignment="1" applyProtection="1">
      <alignment horizontal="left" vertical="center" wrapText="1"/>
    </xf>
    <xf numFmtId="0" fontId="21" fillId="3" borderId="12" xfId="38" applyFont="1" applyFill="1" applyBorder="1" applyAlignment="1" applyProtection="1">
      <alignment horizontal="center" vertical="center"/>
    </xf>
    <xf numFmtId="0" fontId="21" fillId="0" borderId="2" xfId="33" applyFont="1" applyBorder="1" applyAlignment="1" applyProtection="1">
      <alignment horizontal="center" vertical="center"/>
    </xf>
    <xf numFmtId="0" fontId="23" fillId="10" borderId="25" xfId="33" applyFont="1" applyFill="1" applyBorder="1" applyAlignment="1" applyProtection="1">
      <alignment vertical="center" wrapText="1"/>
    </xf>
    <xf numFmtId="0" fontId="19" fillId="0" borderId="5" xfId="34" applyFont="1" applyBorder="1" applyAlignment="1" applyProtection="1">
      <alignment horizontal="center" vertical="center" wrapText="1"/>
    </xf>
    <xf numFmtId="0" fontId="22" fillId="4" borderId="19" xfId="34" applyFont="1" applyFill="1" applyBorder="1" applyAlignment="1" applyProtection="1">
      <alignment horizontal="center" vertical="center"/>
    </xf>
    <xf numFmtId="0" fontId="21" fillId="3" borderId="43" xfId="34" applyFont="1" applyFill="1" applyBorder="1" applyAlignment="1" applyProtection="1">
      <alignment horizontal="center" vertical="center"/>
    </xf>
    <xf numFmtId="0" fontId="19" fillId="0" borderId="7" xfId="36" applyFont="1" applyBorder="1" applyAlignment="1" applyProtection="1">
      <alignment horizontal="center" vertical="center" wrapText="1"/>
    </xf>
    <xf numFmtId="0" fontId="27" fillId="4" borderId="50" xfId="36" applyFont="1" applyFill="1" applyBorder="1" applyAlignment="1" applyProtection="1">
      <alignment vertical="center"/>
    </xf>
    <xf numFmtId="0" fontId="27" fillId="4" borderId="13" xfId="36" applyFont="1" applyFill="1" applyBorder="1" applyAlignment="1" applyProtection="1">
      <alignment vertical="center"/>
    </xf>
    <xf numFmtId="49" fontId="22" fillId="0" borderId="67" xfId="36" applyNumberFormat="1" applyFont="1" applyBorder="1" applyAlignment="1" applyProtection="1">
      <alignment horizontal="left" vertical="center"/>
    </xf>
    <xf numFmtId="49" fontId="22" fillId="0" borderId="25" xfId="36" applyNumberFormat="1" applyFont="1" applyBorder="1" applyAlignment="1" applyProtection="1">
      <alignment horizontal="left" vertical="center"/>
    </xf>
    <xf numFmtId="0" fontId="24" fillId="0" borderId="0" xfId="0" applyFont="1" applyFill="1" applyBorder="1" applyAlignment="1" applyProtection="1">
      <alignment horizontal="left" vertical="center" wrapText="1"/>
    </xf>
    <xf numFmtId="0" fontId="22" fillId="4" borderId="50" xfId="37" applyFont="1" applyFill="1" applyBorder="1" applyAlignment="1" applyProtection="1">
      <alignment horizontal="center" vertical="center"/>
    </xf>
    <xf numFmtId="0" fontId="22" fillId="4" borderId="19" xfId="38" applyFont="1" applyFill="1" applyBorder="1" applyAlignment="1" applyProtection="1">
      <alignment horizontal="center" vertical="center"/>
    </xf>
    <xf numFmtId="0" fontId="22" fillId="4" borderId="10" xfId="0" applyFont="1" applyFill="1" applyBorder="1" applyAlignment="1" applyProtection="1">
      <alignment horizontal="center" vertical="center" wrapText="1"/>
    </xf>
    <xf numFmtId="0" fontId="22" fillId="4" borderId="19" xfId="39" applyFont="1" applyFill="1" applyBorder="1" applyAlignment="1" applyProtection="1">
      <alignment horizontal="center" vertical="center"/>
    </xf>
    <xf numFmtId="0" fontId="22" fillId="4" borderId="19" xfId="41" applyFont="1" applyFill="1" applyBorder="1" applyAlignment="1" applyProtection="1">
      <alignment horizontal="center" vertical="center"/>
    </xf>
    <xf numFmtId="0" fontId="24" fillId="0" borderId="67" xfId="0" applyFont="1" applyBorder="1" applyAlignment="1" applyProtection="1">
      <alignment horizontal="left" vertical="center" wrapText="1"/>
    </xf>
    <xf numFmtId="0" fontId="22" fillId="4" borderId="19" xfId="42" applyFont="1" applyFill="1" applyBorder="1" applyAlignment="1" applyProtection="1">
      <alignment horizontal="center" vertical="center"/>
    </xf>
    <xf numFmtId="0" fontId="19" fillId="0" borderId="7" xfId="43" applyFont="1" applyBorder="1" applyAlignment="1" applyProtection="1">
      <alignment horizontal="center" vertical="center" wrapText="1"/>
    </xf>
    <xf numFmtId="0" fontId="22" fillId="4" borderId="19" xfId="43" applyFont="1" applyFill="1" applyBorder="1" applyAlignment="1" applyProtection="1">
      <alignment horizontal="center" vertical="center"/>
    </xf>
    <xf numFmtId="0" fontId="19" fillId="0" borderId="7" xfId="44" applyFont="1" applyBorder="1" applyAlignment="1" applyProtection="1">
      <alignment horizontal="center" vertical="center" wrapText="1"/>
    </xf>
    <xf numFmtId="0" fontId="22" fillId="4" borderId="19" xfId="45" applyFont="1" applyFill="1" applyBorder="1" applyAlignment="1" applyProtection="1">
      <alignment horizontal="center" vertical="center"/>
    </xf>
    <xf numFmtId="0" fontId="23" fillId="10" borderId="25" xfId="0" applyFont="1" applyFill="1" applyBorder="1" applyAlignment="1" applyProtection="1">
      <alignment vertical="center"/>
    </xf>
    <xf numFmtId="0" fontId="24" fillId="0" borderId="47" xfId="0" applyFont="1" applyBorder="1" applyAlignment="1" applyProtection="1">
      <alignment horizontal="left" vertical="center" wrapText="1"/>
    </xf>
    <xf numFmtId="0" fontId="23" fillId="10" borderId="25" xfId="0" applyFont="1" applyFill="1" applyBorder="1" applyAlignment="1" applyProtection="1">
      <alignment horizontal="left" vertical="center" wrapText="1"/>
    </xf>
    <xf numFmtId="0" fontId="23" fillId="10" borderId="16" xfId="0" applyFont="1" applyFill="1" applyBorder="1" applyAlignment="1" applyProtection="1">
      <alignment horizontal="left" vertical="center" wrapText="1"/>
    </xf>
    <xf numFmtId="0" fontId="19" fillId="0" borderId="2" xfId="47" applyNumberFormat="1" applyFont="1" applyFill="1" applyBorder="1" applyAlignment="1" applyProtection="1">
      <alignment horizontal="center" vertical="center"/>
    </xf>
    <xf numFmtId="0" fontId="21" fillId="3" borderId="48" xfId="48" applyNumberFormat="1" applyFont="1" applyFill="1" applyBorder="1" applyAlignment="1" applyProtection="1">
      <alignment horizontal="center" vertical="center"/>
    </xf>
    <xf numFmtId="0" fontId="22" fillId="4" borderId="19" xfId="47" applyNumberFormat="1" applyFont="1" applyFill="1" applyBorder="1" applyAlignment="1" applyProtection="1">
      <alignment horizontal="center" vertical="center"/>
    </xf>
    <xf numFmtId="0" fontId="23" fillId="10" borderId="25" xfId="0" applyFont="1" applyFill="1" applyBorder="1" applyAlignment="1" applyProtection="1">
      <alignment horizontal="center" vertical="center"/>
    </xf>
    <xf numFmtId="0" fontId="21" fillId="3" borderId="7" xfId="48" applyNumberFormat="1" applyFont="1" applyFill="1" applyBorder="1" applyAlignment="1" applyProtection="1">
      <alignment horizontal="center" vertical="center"/>
    </xf>
    <xf numFmtId="0" fontId="19" fillId="0" borderId="7" xfId="48" applyNumberFormat="1" applyFont="1" applyBorder="1" applyAlignment="1" applyProtection="1">
      <alignment horizontal="center" vertical="center"/>
    </xf>
    <xf numFmtId="0" fontId="21" fillId="3" borderId="14" xfId="48" applyNumberFormat="1" applyFont="1" applyFill="1" applyBorder="1" applyAlignment="1" applyProtection="1">
      <alignment horizontal="center" vertical="center"/>
    </xf>
    <xf numFmtId="0" fontId="19" fillId="0" borderId="7" xfId="48" applyNumberFormat="1" applyFont="1" applyFill="1" applyBorder="1" applyAlignment="1" applyProtection="1">
      <alignment horizontal="center" vertical="center"/>
    </xf>
    <xf numFmtId="0" fontId="19" fillId="0" borderId="48" xfId="48" applyNumberFormat="1" applyFont="1" applyBorder="1" applyAlignment="1" applyProtection="1">
      <alignment horizontal="center" vertical="center"/>
    </xf>
    <xf numFmtId="0" fontId="22" fillId="4" borderId="48" xfId="48" applyNumberFormat="1" applyFont="1" applyFill="1" applyBorder="1" applyAlignment="1" applyProtection="1">
      <alignment horizontal="center" vertical="center"/>
    </xf>
    <xf numFmtId="0" fontId="3" fillId="0" borderId="0" xfId="0" applyFont="1" applyAlignment="1">
      <alignment horizontal="left"/>
    </xf>
    <xf numFmtId="0" fontId="84" fillId="19" borderId="127" xfId="0" applyFont="1" applyFill="1" applyBorder="1" applyAlignment="1" applyProtection="1">
      <alignment horizontal="center" vertical="center"/>
    </xf>
    <xf numFmtId="0" fontId="84" fillId="19" borderId="128" xfId="0" applyFont="1" applyFill="1" applyBorder="1" applyAlignment="1" applyProtection="1">
      <alignment horizontal="center" vertical="center"/>
    </xf>
    <xf numFmtId="0" fontId="88" fillId="0" borderId="0" xfId="0" applyFont="1" applyProtection="1">
      <protection locked="0"/>
    </xf>
    <xf numFmtId="0" fontId="6" fillId="0" borderId="0" xfId="0" applyFont="1" applyAlignment="1">
      <alignment vertical="top" wrapText="1"/>
    </xf>
    <xf numFmtId="49" fontId="33" fillId="0" borderId="0" xfId="0" applyNumberFormat="1" applyFont="1"/>
    <xf numFmtId="168" fontId="33" fillId="0" borderId="0" xfId="0" applyNumberFormat="1" applyFont="1" applyAlignment="1">
      <alignment horizontal="left"/>
    </xf>
    <xf numFmtId="49" fontId="0" fillId="0" borderId="0" xfId="0" applyNumberFormat="1" applyAlignment="1">
      <alignment horizontal="left"/>
    </xf>
    <xf numFmtId="0" fontId="33" fillId="0" borderId="0" xfId="0" applyNumberFormat="1" applyFont="1"/>
    <xf numFmtId="0" fontId="23" fillId="0" borderId="147" xfId="58" applyFont="1" applyBorder="1" applyAlignment="1">
      <alignment horizontal="left" vertical="center" wrapText="1" indent="1"/>
    </xf>
    <xf numFmtId="0" fontId="21" fillId="0" borderId="0" xfId="0" applyFont="1" applyAlignment="1" applyProtection="1">
      <alignment horizontal="center" vertical="center"/>
    </xf>
    <xf numFmtId="0" fontId="23" fillId="0" borderId="0" xfId="0" applyFont="1" applyAlignment="1" applyProtection="1">
      <alignment horizontal="center" vertical="center"/>
    </xf>
    <xf numFmtId="0" fontId="31" fillId="0" borderId="0" xfId="0" applyFont="1" applyAlignment="1" applyProtection="1">
      <alignment horizontal="center" vertical="center"/>
    </xf>
    <xf numFmtId="38" fontId="30" fillId="0" borderId="77" xfId="0" applyNumberFormat="1" applyFont="1" applyFill="1" applyBorder="1" applyAlignment="1" applyProtection="1">
      <alignment horizontal="left" vertical="center" wrapText="1" indent="1"/>
    </xf>
    <xf numFmtId="0" fontId="19" fillId="0" borderId="76" xfId="0" applyFont="1" applyBorder="1" applyAlignment="1" applyProtection="1">
      <alignment horizontal="left" vertical="center" wrapText="1" indent="1"/>
    </xf>
    <xf numFmtId="0" fontId="19" fillId="0" borderId="78" xfId="0" applyFont="1" applyBorder="1" applyAlignment="1" applyProtection="1">
      <alignment horizontal="left" vertical="center" wrapText="1" indent="1"/>
    </xf>
    <xf numFmtId="0" fontId="19" fillId="0" borderId="79" xfId="0" applyFont="1" applyBorder="1" applyAlignment="1" applyProtection="1">
      <alignment horizontal="left" vertical="center" wrapText="1" indent="1"/>
    </xf>
    <xf numFmtId="0" fontId="19" fillId="0" borderId="0" xfId="0" applyFont="1" applyAlignment="1" applyProtection="1">
      <alignment horizontal="left" vertical="center" wrapText="1" indent="1"/>
    </xf>
    <xf numFmtId="0" fontId="19" fillId="0" borderId="80" xfId="0" applyFont="1" applyBorder="1" applyAlignment="1" applyProtection="1">
      <alignment horizontal="left" vertical="center" wrapText="1" indent="1"/>
    </xf>
    <xf numFmtId="0" fontId="19" fillId="0" borderId="81" xfId="0" applyFont="1" applyBorder="1" applyAlignment="1" applyProtection="1">
      <alignment horizontal="left" vertical="center" wrapText="1" indent="1"/>
    </xf>
    <xf numFmtId="0" fontId="19" fillId="0" borderId="75" xfId="0" applyFont="1" applyBorder="1" applyAlignment="1" applyProtection="1">
      <alignment horizontal="left" vertical="center" wrapText="1" indent="1"/>
    </xf>
    <xf numFmtId="0" fontId="19" fillId="0" borderId="82" xfId="0" applyFont="1" applyBorder="1" applyAlignment="1" applyProtection="1">
      <alignment horizontal="left" vertical="center" wrapText="1" indent="1"/>
    </xf>
    <xf numFmtId="0" fontId="23" fillId="0" borderId="124" xfId="0" applyFont="1" applyFill="1" applyBorder="1" applyAlignment="1" applyProtection="1">
      <alignment horizontal="center" vertical="center"/>
      <protection locked="0"/>
    </xf>
    <xf numFmtId="0" fontId="23" fillId="0" borderId="145" xfId="0" applyFont="1" applyFill="1" applyBorder="1" applyAlignment="1" applyProtection="1">
      <alignment horizontal="center" vertical="center"/>
      <protection locked="0"/>
    </xf>
    <xf numFmtId="0" fontId="23" fillId="0" borderId="146" xfId="0" applyFont="1" applyFill="1" applyBorder="1" applyAlignment="1" applyProtection="1">
      <alignment horizontal="center" vertical="center"/>
      <protection locked="0"/>
    </xf>
    <xf numFmtId="49" fontId="23" fillId="0" borderId="64" xfId="0" applyNumberFormat="1" applyFont="1" applyBorder="1" applyAlignment="1" applyProtection="1">
      <alignment horizontal="center"/>
      <protection locked="0"/>
    </xf>
    <xf numFmtId="0" fontId="24" fillId="0" borderId="64" xfId="0" applyFont="1" applyBorder="1" applyAlignment="1" applyProtection="1">
      <alignment horizontal="center"/>
      <protection locked="0"/>
    </xf>
    <xf numFmtId="0" fontId="31" fillId="0" borderId="0" xfId="0" applyNumberFormat="1" applyFont="1" applyAlignment="1" applyProtection="1">
      <alignment horizontal="right" vertical="center"/>
    </xf>
    <xf numFmtId="0" fontId="23" fillId="0" borderId="124" xfId="0" applyFont="1" applyFill="1" applyBorder="1" applyAlignment="1" applyProtection="1">
      <alignment vertical="center"/>
      <protection locked="0"/>
    </xf>
    <xf numFmtId="0" fontId="23" fillId="0" borderId="125" xfId="0" applyFont="1" applyFill="1" applyBorder="1" applyAlignment="1" applyProtection="1">
      <alignment vertical="center"/>
      <protection locked="0"/>
    </xf>
    <xf numFmtId="0" fontId="23" fillId="0" borderId="126" xfId="0" applyFont="1" applyFill="1" applyBorder="1" applyAlignment="1" applyProtection="1">
      <alignment vertical="center"/>
      <protection locked="0"/>
    </xf>
    <xf numFmtId="49" fontId="37" fillId="0" borderId="60" xfId="0" applyNumberFormat="1" applyFont="1" applyBorder="1" applyAlignment="1" applyProtection="1">
      <alignment horizontal="center" vertical="top"/>
    </xf>
    <xf numFmtId="168" fontId="23" fillId="19" borderId="65" xfId="0" applyNumberFormat="1" applyFont="1" applyFill="1" applyBorder="1" applyAlignment="1" applyProtection="1">
      <alignment horizontal="center"/>
    </xf>
    <xf numFmtId="0" fontId="24" fillId="0" borderId="43" xfId="0" applyFont="1" applyBorder="1" applyAlignment="1" applyProtection="1">
      <alignment horizontal="center"/>
      <protection locked="0"/>
    </xf>
    <xf numFmtId="0" fontId="24" fillId="0" borderId="7" xfId="0" applyFont="1" applyBorder="1" applyAlignment="1" applyProtection="1">
      <alignment horizontal="left" vertical="center"/>
      <protection locked="0"/>
    </xf>
    <xf numFmtId="0" fontId="24" fillId="0" borderId="25"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167" fontId="24" fillId="19" borderId="64" xfId="0" applyNumberFormat="1" applyFont="1" applyFill="1" applyBorder="1" applyAlignment="1" applyProtection="1">
      <alignment horizontal="center"/>
    </xf>
    <xf numFmtId="0" fontId="81" fillId="0" borderId="0" xfId="0" applyFont="1" applyAlignment="1" applyProtection="1">
      <alignment horizontal="center" vertical="center" readingOrder="1"/>
    </xf>
    <xf numFmtId="0" fontId="24" fillId="0" borderId="43" xfId="0" applyFont="1" applyBorder="1" applyAlignment="1" applyProtection="1">
      <alignment horizontal="center" vertical="center"/>
      <protection locked="0"/>
    </xf>
    <xf numFmtId="49" fontId="24" fillId="0" borderId="43" xfId="0" applyNumberFormat="1" applyFont="1" applyBorder="1" applyAlignment="1" applyProtection="1">
      <alignment horizontal="center"/>
      <protection locked="0"/>
    </xf>
    <xf numFmtId="0" fontId="24" fillId="19" borderId="105" xfId="0" applyFont="1" applyFill="1" applyBorder="1" applyAlignment="1" applyProtection="1">
      <alignment horizontal="center"/>
    </xf>
    <xf numFmtId="0" fontId="24" fillId="19" borderId="64" xfId="0" applyFont="1" applyFill="1" applyBorder="1" applyAlignment="1" applyProtection="1">
      <alignment horizontal="center"/>
    </xf>
    <xf numFmtId="167" fontId="24" fillId="19" borderId="43" xfId="0" applyNumberFormat="1" applyFont="1" applyFill="1" applyBorder="1" applyAlignment="1" applyProtection="1">
      <alignment horizontal="center"/>
    </xf>
    <xf numFmtId="0" fontId="24" fillId="9" borderId="110" xfId="0" applyFont="1" applyFill="1" applyBorder="1" applyAlignment="1" applyProtection="1">
      <alignment horizontal="center"/>
    </xf>
    <xf numFmtId="166" fontId="24" fillId="9" borderId="110" xfId="0" applyNumberFormat="1" applyFont="1" applyFill="1" applyBorder="1" applyAlignment="1" applyProtection="1">
      <alignment horizontal="center"/>
    </xf>
    <xf numFmtId="49" fontId="39" fillId="0" borderId="0" xfId="0" applyNumberFormat="1" applyFont="1" applyBorder="1" applyAlignment="1" applyProtection="1">
      <alignment horizontal="center"/>
    </xf>
    <xf numFmtId="0" fontId="83" fillId="0" borderId="0" xfId="0" applyFont="1" applyAlignment="1" applyProtection="1">
      <alignment horizontal="center" readingOrder="1"/>
    </xf>
    <xf numFmtId="0" fontId="23" fillId="0" borderId="7"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16" xfId="0" applyFont="1" applyBorder="1" applyAlignment="1" applyProtection="1">
      <alignment horizontal="center" vertical="center"/>
    </xf>
    <xf numFmtId="168" fontId="37" fillId="0" borderId="0" xfId="0" applyNumberFormat="1" applyFont="1" applyAlignment="1" applyProtection="1">
      <alignment horizontal="left"/>
    </xf>
    <xf numFmtId="0" fontId="37" fillId="0" borderId="0" xfId="0" applyFont="1" applyAlignment="1" applyProtection="1">
      <alignment horizontal="left"/>
    </xf>
    <xf numFmtId="0" fontId="19" fillId="0" borderId="0" xfId="0" applyFont="1" applyBorder="1" applyAlignment="1" applyProtection="1">
      <alignment horizontal="left" vertical="center" wrapText="1"/>
    </xf>
    <xf numFmtId="0" fontId="19" fillId="0" borderId="0" xfId="0" applyFont="1" applyProtection="1"/>
    <xf numFmtId="0" fontId="23" fillId="0" borderId="7" xfId="0" applyFont="1" applyBorder="1" applyAlignment="1" applyProtection="1">
      <protection locked="0"/>
    </xf>
    <xf numFmtId="0" fontId="24" fillId="0" borderId="25" xfId="0" applyFont="1" applyBorder="1" applyAlignment="1" applyProtection="1">
      <protection locked="0"/>
    </xf>
    <xf numFmtId="0" fontId="24" fillId="0" borderId="16" xfId="0" applyFont="1" applyBorder="1" applyAlignment="1" applyProtection="1">
      <protection locked="0"/>
    </xf>
    <xf numFmtId="0" fontId="22" fillId="4" borderId="21" xfId="34" applyFont="1" applyFill="1" applyBorder="1" applyAlignment="1" applyProtection="1">
      <alignment horizontal="left" vertical="center" wrapText="1" indent="2"/>
    </xf>
    <xf numFmtId="0" fontId="24" fillId="4" borderId="61" xfId="0" applyFont="1" applyFill="1" applyBorder="1" applyProtection="1"/>
    <xf numFmtId="0" fontId="22" fillId="4" borderId="28" xfId="34" applyFont="1" applyFill="1" applyBorder="1" applyAlignment="1" applyProtection="1">
      <alignment horizontal="left" vertical="center" wrapText="1" indent="2"/>
    </xf>
    <xf numFmtId="0" fontId="24" fillId="4" borderId="50" xfId="0" applyFont="1" applyFill="1" applyBorder="1" applyProtection="1"/>
    <xf numFmtId="0" fontId="21" fillId="4" borderId="24" xfId="34" applyFont="1" applyFill="1" applyBorder="1" applyAlignment="1" applyProtection="1">
      <alignment horizontal="left" vertical="center" wrapText="1"/>
    </xf>
    <xf numFmtId="0" fontId="23" fillId="4" borderId="63" xfId="0" applyFont="1" applyFill="1" applyBorder="1" applyAlignment="1" applyProtection="1">
      <alignment horizontal="left"/>
    </xf>
    <xf numFmtId="0" fontId="22" fillId="4" borderId="24" xfId="34" applyFont="1" applyFill="1" applyBorder="1" applyAlignment="1" applyProtection="1">
      <alignment horizontal="left" vertical="center" wrapText="1" indent="2"/>
    </xf>
    <xf numFmtId="0" fontId="24" fillId="4" borderId="63" xfId="0" applyFont="1" applyFill="1" applyBorder="1" applyProtection="1"/>
    <xf numFmtId="0" fontId="22" fillId="4" borderId="14" xfId="34" applyFont="1" applyFill="1" applyBorder="1" applyAlignment="1" applyProtection="1">
      <alignment horizontal="left" vertical="center" wrapText="1" indent="2"/>
    </xf>
    <xf numFmtId="0" fontId="24" fillId="4" borderId="47" xfId="0" applyFont="1" applyFill="1" applyBorder="1" applyProtection="1"/>
    <xf numFmtId="0" fontId="22" fillId="4" borderId="28" xfId="33" applyFont="1" applyFill="1" applyBorder="1" applyAlignment="1" applyProtection="1">
      <alignment horizontal="left" vertical="top" wrapText="1" indent="2"/>
    </xf>
    <xf numFmtId="0" fontId="22" fillId="4" borderId="24" xfId="33" applyFont="1" applyFill="1" applyBorder="1" applyAlignment="1" applyProtection="1">
      <alignment horizontal="left" vertical="top" wrapText="1" indent="2"/>
    </xf>
    <xf numFmtId="49" fontId="21" fillId="11" borderId="14" xfId="21" applyNumberFormat="1" applyFont="1" applyFill="1" applyBorder="1" applyAlignment="1" applyProtection="1">
      <alignment horizontal="left" vertical="center" wrapText="1"/>
    </xf>
    <xf numFmtId="0" fontId="23" fillId="11" borderId="47" xfId="0" applyFont="1" applyFill="1" applyBorder="1" applyAlignment="1" applyProtection="1">
      <alignment horizontal="left" vertical="center" wrapText="1"/>
    </xf>
    <xf numFmtId="49" fontId="22" fillId="4" borderId="28" xfId="21" applyNumberFormat="1" applyFont="1" applyFill="1" applyBorder="1" applyAlignment="1" applyProtection="1">
      <alignment horizontal="left" vertical="center" wrapText="1" indent="2"/>
    </xf>
    <xf numFmtId="0" fontId="24" fillId="4" borderId="50" xfId="0" applyFont="1" applyFill="1" applyBorder="1" applyAlignment="1" applyProtection="1">
      <alignment horizontal="left" vertical="center" wrapText="1"/>
    </xf>
    <xf numFmtId="0" fontId="21" fillId="11" borderId="14" xfId="0" applyFont="1" applyFill="1" applyBorder="1" applyAlignment="1" applyProtection="1">
      <alignment vertical="center" wrapText="1"/>
    </xf>
    <xf numFmtId="0" fontId="23" fillId="11" borderId="47" xfId="0" applyFont="1" applyFill="1" applyBorder="1" applyAlignment="1" applyProtection="1">
      <alignment vertical="center" wrapText="1"/>
    </xf>
    <xf numFmtId="49" fontId="22" fillId="4" borderId="28" xfId="48" applyNumberFormat="1" applyFont="1" applyFill="1" applyBorder="1" applyAlignment="1" applyProtection="1">
      <alignment horizontal="left" vertical="center" wrapText="1" indent="3"/>
    </xf>
    <xf numFmtId="49" fontId="22" fillId="4" borderId="50" xfId="48" applyNumberFormat="1" applyFont="1" applyFill="1" applyBorder="1" applyAlignment="1" applyProtection="1">
      <alignment horizontal="left" vertical="center" wrapText="1" indent="3"/>
    </xf>
    <xf numFmtId="3" fontId="22" fillId="0" borderId="106" xfId="0" applyNumberFormat="1" applyFont="1" applyBorder="1" applyAlignment="1" applyProtection="1">
      <alignment horizontal="left" vertical="top" indent="3"/>
    </xf>
    <xf numFmtId="3" fontId="22" fillId="0" borderId="107" xfId="0" applyNumberFormat="1" applyFont="1" applyBorder="1" applyAlignment="1" applyProtection="1">
      <alignment horizontal="left" vertical="top" indent="3"/>
    </xf>
    <xf numFmtId="49" fontId="21" fillId="0" borderId="2" xfId="51" applyNumberFormat="1" applyFont="1" applyBorder="1" applyAlignment="1" applyProtection="1">
      <alignment horizontal="center" vertical="center" wrapText="1"/>
    </xf>
    <xf numFmtId="49" fontId="21" fillId="0" borderId="3" xfId="51" applyNumberFormat="1" applyFont="1" applyBorder="1" applyAlignment="1" applyProtection="1">
      <alignment horizontal="center" vertical="center" wrapText="1"/>
    </xf>
    <xf numFmtId="49" fontId="22" fillId="4" borderId="28" xfId="45" applyNumberFormat="1" applyFont="1" applyFill="1" applyBorder="1" applyAlignment="1" applyProtection="1">
      <alignment horizontal="left" vertical="top" wrapText="1" indent="4"/>
    </xf>
    <xf numFmtId="0" fontId="24" fillId="4" borderId="50" xfId="0" applyFont="1" applyFill="1" applyBorder="1" applyAlignment="1" applyProtection="1">
      <alignment horizontal="left" vertical="top" wrapText="1" indent="3"/>
    </xf>
    <xf numFmtId="49" fontId="22" fillId="4" borderId="28" xfId="41" applyNumberFormat="1" applyFont="1" applyFill="1" applyBorder="1" applyAlignment="1" applyProtection="1">
      <alignment horizontal="left" vertical="center" wrapText="1" indent="3"/>
    </xf>
    <xf numFmtId="0" fontId="24" fillId="4" borderId="50" xfId="0" applyFont="1" applyFill="1" applyBorder="1" applyAlignment="1" applyProtection="1">
      <alignment horizontal="left" vertical="center" wrapText="1" indent="2"/>
    </xf>
    <xf numFmtId="49" fontId="22" fillId="0" borderId="21" xfId="39" applyNumberFormat="1" applyFont="1" applyBorder="1" applyAlignment="1" applyProtection="1">
      <alignment horizontal="left" vertical="top" indent="4"/>
    </xf>
    <xf numFmtId="49" fontId="22" fillId="0" borderId="61" xfId="39" applyNumberFormat="1" applyFont="1" applyBorder="1" applyAlignment="1" applyProtection="1">
      <alignment horizontal="left" vertical="top" indent="4"/>
    </xf>
    <xf numFmtId="3" fontId="22" fillId="0" borderId="21" xfId="0" applyNumberFormat="1" applyFont="1" applyBorder="1" applyAlignment="1" applyProtection="1">
      <alignment horizontal="left" vertical="top" indent="4"/>
    </xf>
    <xf numFmtId="3" fontId="22" fillId="0" borderId="61" xfId="0" applyNumberFormat="1" applyFont="1" applyBorder="1" applyAlignment="1" applyProtection="1">
      <alignment horizontal="left" vertical="top" indent="4"/>
    </xf>
    <xf numFmtId="0" fontId="68" fillId="0" borderId="0" xfId="0" applyFont="1" applyBorder="1" applyAlignment="1" applyProtection="1">
      <alignment wrapText="1"/>
    </xf>
    <xf numFmtId="0" fontId="32" fillId="10" borderId="7" xfId="0"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16" xfId="0" applyFont="1" applyFill="1" applyBorder="1" applyAlignment="1">
      <alignment horizontal="center" vertical="center"/>
    </xf>
    <xf numFmtId="0" fontId="24" fillId="0" borderId="0" xfId="0" applyFont="1" applyAlignment="1">
      <alignment wrapText="1"/>
    </xf>
    <xf numFmtId="0" fontId="49" fillId="0" borderId="83" xfId="0" applyNumberFormat="1" applyFont="1" applyBorder="1" applyAlignment="1">
      <alignment horizontal="left" vertical="center" wrapText="1" indent="1"/>
    </xf>
    <xf numFmtId="0" fontId="49" fillId="0" borderId="84" xfId="0" applyFont="1" applyBorder="1" applyAlignment="1">
      <alignment horizontal="left" wrapText="1" indent="1"/>
    </xf>
    <xf numFmtId="0" fontId="49" fillId="0" borderId="85" xfId="0" applyFont="1" applyBorder="1" applyAlignment="1">
      <alignment horizontal="left" wrapText="1" indent="1"/>
    </xf>
    <xf numFmtId="0" fontId="46" fillId="0" borderId="0" xfId="0" applyNumberFormat="1" applyFont="1" applyAlignment="1">
      <alignment horizontal="left" vertical="center" wrapText="1"/>
    </xf>
    <xf numFmtId="0" fontId="48" fillId="0" borderId="0" xfId="0" applyFont="1" applyAlignment="1">
      <alignment horizontal="left" vertical="center" wrapText="1"/>
    </xf>
    <xf numFmtId="0" fontId="37" fillId="0" borderId="0" xfId="0" applyFont="1" applyBorder="1" applyAlignment="1"/>
    <xf numFmtId="0" fontId="37" fillId="0" borderId="129" xfId="0" applyFont="1" applyBorder="1" applyAlignment="1">
      <alignment wrapText="1"/>
    </xf>
    <xf numFmtId="0" fontId="37" fillId="0" borderId="0" xfId="0" applyFont="1" applyBorder="1" applyAlignment="1">
      <alignment vertical="top" wrapText="1"/>
    </xf>
    <xf numFmtId="0" fontId="37" fillId="0" borderId="0" xfId="0" applyNumberFormat="1" applyFont="1" applyAlignment="1">
      <alignment horizontal="left" vertical="top" wrapText="1"/>
    </xf>
    <xf numFmtId="0" fontId="37" fillId="0" borderId="0" xfId="0" applyNumberFormat="1" applyFont="1" applyAlignment="1"/>
    <xf numFmtId="0" fontId="37" fillId="0" borderId="0" xfId="0" applyFont="1" applyAlignment="1"/>
    <xf numFmtId="0" fontId="32" fillId="13" borderId="48" xfId="0" applyFont="1" applyFill="1" applyBorder="1" applyAlignment="1" applyProtection="1">
      <alignment horizontal="center" vertical="center"/>
    </xf>
    <xf numFmtId="0" fontId="24" fillId="13" borderId="4" xfId="0" applyFont="1" applyFill="1" applyBorder="1" applyAlignment="1" applyProtection="1">
      <alignment horizontal="center" vertical="center"/>
    </xf>
    <xf numFmtId="0" fontId="24" fillId="13" borderId="46" xfId="0" applyFont="1" applyFill="1" applyBorder="1" applyAlignment="1" applyProtection="1">
      <alignment horizontal="center" vertical="center"/>
    </xf>
    <xf numFmtId="0" fontId="48" fillId="13" borderId="12" xfId="0" applyFont="1" applyFill="1" applyBorder="1" applyAlignment="1" applyProtection="1">
      <alignment horizontal="right" vertical="center" indent="1"/>
    </xf>
    <xf numFmtId="0" fontId="24" fillId="13" borderId="0" xfId="0" applyFont="1" applyFill="1" applyAlignment="1" applyProtection="1">
      <alignment horizontal="right" vertical="center"/>
    </xf>
    <xf numFmtId="0" fontId="32" fillId="14" borderId="12" xfId="0" applyFont="1" applyFill="1" applyBorder="1" applyAlignment="1" applyProtection="1">
      <alignment horizontal="center" vertical="center"/>
    </xf>
    <xf numFmtId="0" fontId="24" fillId="14" borderId="0" xfId="0" applyFont="1" applyFill="1" applyBorder="1" applyAlignment="1" applyProtection="1">
      <alignment horizontal="center" vertical="center"/>
    </xf>
    <xf numFmtId="0" fontId="24" fillId="14" borderId="13" xfId="0" applyFont="1" applyFill="1" applyBorder="1" applyAlignment="1" applyProtection="1">
      <alignment horizontal="center" vertical="center"/>
    </xf>
    <xf numFmtId="0" fontId="32" fillId="14" borderId="12" xfId="0" applyFont="1" applyFill="1" applyBorder="1" applyAlignment="1" applyProtection="1">
      <alignment horizontal="center" vertical="center" wrapText="1"/>
    </xf>
    <xf numFmtId="0" fontId="24" fillId="14" borderId="0" xfId="0" applyFont="1" applyFill="1" applyBorder="1" applyAlignment="1" applyProtection="1">
      <alignment horizontal="center" vertical="center" wrapText="1"/>
    </xf>
    <xf numFmtId="0" fontId="24" fillId="14" borderId="13" xfId="0" applyFont="1" applyFill="1" applyBorder="1" applyAlignment="1" applyProtection="1">
      <alignment horizontal="center" vertical="center" wrapText="1"/>
    </xf>
    <xf numFmtId="0" fontId="32" fillId="14" borderId="0" xfId="0" applyFont="1" applyFill="1" applyBorder="1" applyAlignment="1" applyProtection="1">
      <alignment horizontal="center" vertical="center"/>
    </xf>
    <xf numFmtId="0" fontId="32" fillId="13" borderId="12" xfId="0" applyFont="1" applyFill="1" applyBorder="1" applyAlignment="1" applyProtection="1">
      <alignment horizontal="center" vertical="center" wrapText="1"/>
    </xf>
    <xf numFmtId="0" fontId="24" fillId="13" borderId="0" xfId="0" applyFont="1" applyFill="1" applyAlignment="1" applyProtection="1">
      <alignment horizontal="center" vertical="center" wrapText="1"/>
    </xf>
    <xf numFmtId="0" fontId="24" fillId="13" borderId="0" xfId="0" applyFont="1" applyFill="1" applyBorder="1" applyAlignment="1" applyProtection="1">
      <alignment horizontal="center" vertical="center" wrapText="1"/>
    </xf>
    <xf numFmtId="0" fontId="32" fillId="13" borderId="0" xfId="0" applyFont="1" applyFill="1" applyBorder="1" applyAlignment="1" applyProtection="1">
      <alignment horizontal="center" vertical="center"/>
    </xf>
    <xf numFmtId="0" fontId="24" fillId="13" borderId="0" xfId="0" applyFont="1" applyFill="1" applyAlignment="1" applyProtection="1">
      <alignment horizontal="center" vertical="center"/>
    </xf>
    <xf numFmtId="0" fontId="24" fillId="13" borderId="0" xfId="0" applyFont="1" applyFill="1" applyBorder="1" applyAlignment="1" applyProtection="1">
      <alignment horizontal="center" vertical="center"/>
    </xf>
    <xf numFmtId="0" fontId="32" fillId="13" borderId="12" xfId="0" applyFont="1" applyFill="1" applyBorder="1" applyAlignment="1" applyProtection="1">
      <alignment horizontal="center" vertical="center"/>
    </xf>
    <xf numFmtId="0" fontId="24" fillId="13" borderId="13" xfId="0" applyFont="1" applyFill="1" applyBorder="1" applyAlignment="1" applyProtection="1">
      <alignment horizontal="center" vertical="center"/>
    </xf>
    <xf numFmtId="0" fontId="21" fillId="9" borderId="7" xfId="0" applyFont="1" applyFill="1" applyBorder="1" applyAlignment="1" applyProtection="1">
      <alignment horizontal="left" vertical="center" wrapText="1" indent="3"/>
    </xf>
    <xf numFmtId="0" fontId="23" fillId="9" borderId="16" xfId="0" applyFont="1" applyFill="1" applyBorder="1" applyAlignment="1" applyProtection="1">
      <alignment horizontal="left" vertical="center" wrapText="1" indent="3"/>
    </xf>
    <xf numFmtId="0" fontId="32" fillId="13" borderId="0" xfId="0" applyFont="1" applyFill="1" applyBorder="1" applyAlignment="1" applyProtection="1">
      <alignment horizontal="center" vertical="center" wrapText="1"/>
    </xf>
    <xf numFmtId="0" fontId="22" fillId="4" borderId="86" xfId="0" applyFont="1" applyFill="1" applyBorder="1" applyAlignment="1" applyProtection="1">
      <alignment horizontal="left" vertical="center" wrapText="1" indent="2"/>
    </xf>
    <xf numFmtId="0" fontId="22" fillId="4" borderId="87" xfId="0" applyFont="1" applyFill="1" applyBorder="1" applyAlignment="1" applyProtection="1">
      <alignment horizontal="left" vertical="center" wrapText="1" indent="2"/>
    </xf>
    <xf numFmtId="0" fontId="22" fillId="4" borderId="86" xfId="0" applyFont="1" applyFill="1" applyBorder="1" applyAlignment="1" applyProtection="1">
      <alignment horizontal="left" vertical="center" wrapText="1" indent="3"/>
    </xf>
    <xf numFmtId="0" fontId="22" fillId="4" borderId="87" xfId="0" applyFont="1" applyFill="1" applyBorder="1" applyAlignment="1" applyProtection="1">
      <alignment horizontal="left" vertical="center" wrapText="1" indent="3"/>
    </xf>
    <xf numFmtId="0" fontId="22" fillId="4" borderId="28" xfId="0" applyFont="1" applyFill="1" applyBorder="1" applyAlignment="1" applyProtection="1">
      <alignment horizontal="left" vertical="center" wrapText="1" indent="1"/>
    </xf>
    <xf numFmtId="0" fontId="22" fillId="4" borderId="50" xfId="0" applyFont="1" applyFill="1" applyBorder="1" applyAlignment="1" applyProtection="1">
      <alignment horizontal="left" vertical="center" wrapText="1" indent="1"/>
    </xf>
    <xf numFmtId="0" fontId="22" fillId="0" borderId="14" xfId="0" applyFont="1" applyBorder="1" applyAlignment="1" applyProtection="1">
      <alignment horizontal="left" vertical="center" wrapText="1" indent="1"/>
    </xf>
    <xf numFmtId="0" fontId="22" fillId="0" borderId="47" xfId="0" applyFont="1" applyBorder="1" applyAlignment="1" applyProtection="1">
      <alignment horizontal="left" vertical="center" wrapText="1" indent="1"/>
    </xf>
    <xf numFmtId="9" fontId="24" fillId="9" borderId="130" xfId="52" applyNumberFormat="1" applyFont="1" applyFill="1" applyBorder="1" applyAlignment="1" applyProtection="1">
      <alignment horizontal="center" vertical="center" shrinkToFit="1"/>
    </xf>
    <xf numFmtId="9" fontId="24" fillId="9" borderId="38" xfId="52" applyNumberFormat="1" applyFont="1" applyFill="1" applyBorder="1" applyAlignment="1" applyProtection="1">
      <alignment horizontal="center" vertical="center" shrinkToFit="1"/>
    </xf>
    <xf numFmtId="0" fontId="24" fillId="0" borderId="0" xfId="52" applyNumberFormat="1" applyFont="1" applyBorder="1" applyAlignment="1" applyProtection="1">
      <alignment horizontal="center"/>
    </xf>
    <xf numFmtId="0" fontId="32" fillId="0" borderId="30" xfId="52" applyNumberFormat="1" applyFont="1" applyFill="1" applyBorder="1" applyAlignment="1" applyProtection="1">
      <alignment wrapText="1"/>
    </xf>
    <xf numFmtId="0" fontId="64" fillId="0" borderId="91" xfId="52" applyNumberFormat="1" applyFont="1" applyBorder="1" applyAlignment="1" applyProtection="1">
      <alignment vertical="center"/>
    </xf>
    <xf numFmtId="0" fontId="64" fillId="0" borderId="0" xfId="52" applyNumberFormat="1" applyFont="1" applyBorder="1" applyAlignment="1" applyProtection="1">
      <alignment vertical="center"/>
    </xf>
    <xf numFmtId="0" fontId="32" fillId="0" borderId="36" xfId="52" applyNumberFormat="1" applyFont="1" applyFill="1" applyBorder="1" applyAlignment="1" applyProtection="1">
      <alignment vertical="top" wrapText="1"/>
    </xf>
    <xf numFmtId="0" fontId="24" fillId="0" borderId="0" xfId="52" applyNumberFormat="1" applyFont="1" applyFill="1" applyBorder="1" applyAlignment="1" applyProtection="1">
      <alignment horizontal="left" vertical="top" wrapText="1" indent="2"/>
    </xf>
    <xf numFmtId="0" fontId="24" fillId="0" borderId="0" xfId="52" applyFont="1" applyFill="1" applyBorder="1" applyAlignment="1" applyProtection="1">
      <alignment horizontal="left" vertical="top" wrapText="1" indent="2"/>
    </xf>
    <xf numFmtId="0" fontId="24" fillId="0" borderId="94" xfId="52" applyFont="1" applyFill="1" applyBorder="1" applyAlignment="1" applyProtection="1">
      <alignment horizontal="left" vertical="top" wrapText="1" indent="2"/>
    </xf>
    <xf numFmtId="0" fontId="36" fillId="0" borderId="88" xfId="0" applyNumberFormat="1" applyFont="1" applyBorder="1" applyAlignment="1" applyProtection="1">
      <alignment horizontal="center" vertical="center" wrapText="1"/>
    </xf>
    <xf numFmtId="0" fontId="24" fillId="0" borderId="89" xfId="0" applyFont="1" applyBorder="1" applyAlignment="1" applyProtection="1">
      <alignment horizontal="center" vertical="center" wrapText="1"/>
    </xf>
    <xf numFmtId="0" fontId="38" fillId="0" borderId="91" xfId="0" applyNumberFormat="1"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48" fillId="0" borderId="0" xfId="52" applyNumberFormat="1" applyFont="1" applyBorder="1" applyAlignment="1" applyProtection="1">
      <alignment horizontal="center"/>
    </xf>
    <xf numFmtId="0" fontId="32" fillId="0" borderId="110" xfId="52" applyNumberFormat="1" applyFont="1" applyFill="1" applyBorder="1" applyAlignment="1" applyProtection="1">
      <alignment horizontal="left" vertical="center" indent="1"/>
    </xf>
    <xf numFmtId="0" fontId="32" fillId="0" borderId="110" xfId="52" applyNumberFormat="1" applyFont="1" applyFill="1" applyBorder="1" applyAlignment="1" applyProtection="1">
      <alignment horizontal="left" vertical="center"/>
    </xf>
    <xf numFmtId="0" fontId="24" fillId="22" borderId="91" xfId="52" applyNumberFormat="1" applyFont="1" applyFill="1" applyBorder="1" applyAlignment="1" applyProtection="1">
      <alignment horizontal="left" vertical="top" wrapText="1"/>
    </xf>
    <xf numFmtId="0" fontId="24" fillId="22" borderId="0" xfId="52" applyFont="1" applyFill="1" applyBorder="1" applyAlignment="1" applyProtection="1">
      <alignment vertical="top"/>
    </xf>
    <xf numFmtId="0" fontId="24" fillId="22" borderId="62" xfId="52" applyFont="1" applyFill="1" applyBorder="1" applyAlignment="1" applyProtection="1">
      <alignment vertical="top"/>
    </xf>
    <xf numFmtId="164" fontId="32" fillId="0" borderId="111" xfId="52" applyNumberFormat="1" applyFont="1" applyFill="1" applyBorder="1" applyAlignment="1" applyProtection="1">
      <alignment horizontal="left" vertical="center" indent="1"/>
    </xf>
    <xf numFmtId="0" fontId="32" fillId="0" borderId="112" xfId="52" applyNumberFormat="1" applyFont="1" applyBorder="1" applyAlignment="1" applyProtection="1">
      <alignment horizontal="center" vertical="center"/>
    </xf>
    <xf numFmtId="0" fontId="24" fillId="0" borderId="36" xfId="52" applyFont="1" applyBorder="1" applyAlignment="1" applyProtection="1">
      <alignment horizontal="center" vertical="center"/>
    </xf>
    <xf numFmtId="0" fontId="24" fillId="0" borderId="37" xfId="52" applyFont="1" applyBorder="1" applyAlignment="1" applyProtection="1">
      <alignment horizontal="center" vertical="center"/>
    </xf>
    <xf numFmtId="0" fontId="24" fillId="0" borderId="39" xfId="52" applyNumberFormat="1" applyFont="1" applyBorder="1" applyAlignment="1" applyProtection="1">
      <alignment horizontal="left" vertical="center" wrapText="1"/>
    </xf>
    <xf numFmtId="0" fontId="24" fillId="0" borderId="39" xfId="52" applyFont="1" applyBorder="1" applyAlignment="1" applyProtection="1">
      <alignment horizontal="left" vertical="center" wrapText="1"/>
    </xf>
    <xf numFmtId="0" fontId="24" fillId="0" borderId="40" xfId="52" applyFont="1" applyBorder="1" applyAlignment="1" applyProtection="1">
      <alignment horizontal="left" vertical="center" wrapText="1"/>
    </xf>
    <xf numFmtId="0" fontId="24" fillId="0" borderId="0" xfId="52" applyNumberFormat="1" applyFont="1" applyBorder="1" applyAlignment="1" applyProtection="1">
      <alignment horizontal="center" vertical="center"/>
    </xf>
    <xf numFmtId="167" fontId="24" fillId="0" borderId="0" xfId="52" applyNumberFormat="1" applyFont="1" applyBorder="1" applyAlignment="1" applyProtection="1">
      <alignment horizontal="center"/>
    </xf>
    <xf numFmtId="0" fontId="48" fillId="0" borderId="0" xfId="52" applyFont="1" applyBorder="1" applyAlignment="1" applyProtection="1">
      <alignment horizontal="center" vertical="center" wrapText="1"/>
    </xf>
    <xf numFmtId="0" fontId="37" fillId="0" borderId="97" xfId="0" applyFont="1" applyBorder="1" applyAlignment="1" applyProtection="1">
      <alignment horizontal="left" vertical="top" wrapText="1"/>
    </xf>
    <xf numFmtId="0" fontId="48" fillId="0" borderId="98" xfId="0" applyFont="1" applyBorder="1" applyAlignment="1" applyProtection="1">
      <alignment horizontal="left" vertical="top" wrapText="1"/>
    </xf>
    <xf numFmtId="0" fontId="48" fillId="0" borderId="99" xfId="0" applyFont="1" applyBorder="1" applyAlignment="1" applyProtection="1">
      <alignment horizontal="left" vertical="top" wrapText="1"/>
    </xf>
    <xf numFmtId="0" fontId="31" fillId="10" borderId="97" xfId="0" applyFont="1" applyFill="1" applyBorder="1" applyAlignment="1" applyProtection="1">
      <alignment horizontal="center" vertical="center"/>
    </xf>
    <xf numFmtId="0" fontId="33" fillId="10" borderId="98" xfId="0" applyFont="1" applyFill="1" applyBorder="1" applyAlignment="1" applyProtection="1">
      <alignment horizontal="center" vertical="center"/>
    </xf>
    <xf numFmtId="0" fontId="33" fillId="10" borderId="99" xfId="0" applyFont="1" applyFill="1" applyBorder="1" applyAlignment="1" applyProtection="1">
      <alignment horizontal="center" vertical="center"/>
    </xf>
    <xf numFmtId="0" fontId="42" fillId="0" borderId="36" xfId="0" applyFont="1" applyBorder="1" applyAlignment="1" applyProtection="1">
      <alignment horizontal="left" vertical="center" wrapText="1"/>
    </xf>
    <xf numFmtId="0" fontId="21" fillId="6" borderId="25" xfId="0" applyFont="1" applyFill="1" applyBorder="1" applyAlignment="1">
      <alignment horizontal="left" vertical="center" wrapText="1"/>
    </xf>
    <xf numFmtId="0" fontId="24" fillId="6" borderId="16" xfId="0" applyFont="1" applyFill="1" applyBorder="1" applyAlignment="1">
      <alignment horizontal="left" vertical="center" wrapText="1"/>
    </xf>
    <xf numFmtId="0" fontId="21" fillId="6" borderId="43" xfId="0" applyFont="1" applyFill="1" applyBorder="1" applyAlignment="1">
      <alignment vertical="center" wrapText="1"/>
    </xf>
    <xf numFmtId="0" fontId="32" fillId="6" borderId="47" xfId="0" applyFont="1" applyFill="1" applyBorder="1" applyAlignment="1">
      <alignment vertical="center" wrapText="1"/>
    </xf>
    <xf numFmtId="0" fontId="32" fillId="0" borderId="141" xfId="0" applyFont="1" applyBorder="1" applyAlignment="1">
      <alignment horizontal="center" vertical="center"/>
    </xf>
    <xf numFmtId="0" fontId="32" fillId="0" borderId="139" xfId="0" applyFont="1" applyBorder="1" applyAlignment="1">
      <alignment horizontal="center" vertical="center"/>
    </xf>
    <xf numFmtId="0" fontId="32" fillId="0" borderId="142" xfId="0" applyFont="1" applyBorder="1" applyAlignment="1">
      <alignment horizontal="center" vertical="center"/>
    </xf>
    <xf numFmtId="0" fontId="32" fillId="0" borderId="91" xfId="0" applyFont="1" applyBorder="1" applyAlignment="1">
      <alignment horizontal="center" vertical="center"/>
    </xf>
    <xf numFmtId="0" fontId="32" fillId="0" borderId="0" xfId="0" applyFont="1" applyBorder="1" applyAlignment="1">
      <alignment horizontal="center" vertical="center"/>
    </xf>
    <xf numFmtId="0" fontId="32" fillId="0" borderId="143" xfId="0" applyFont="1" applyBorder="1" applyAlignment="1">
      <alignment horizontal="center" vertical="center"/>
    </xf>
    <xf numFmtId="0" fontId="87" fillId="0" borderId="140" xfId="0" applyFont="1" applyBorder="1" applyAlignment="1">
      <alignment horizontal="center"/>
    </xf>
    <xf numFmtId="0" fontId="87" fillId="0" borderId="27" xfId="0" applyFont="1" applyBorder="1" applyAlignment="1">
      <alignment horizontal="center"/>
    </xf>
    <xf numFmtId="0" fontId="87" fillId="0" borderId="144" xfId="0" applyFont="1" applyBorder="1" applyAlignment="1">
      <alignment horizontal="center"/>
    </xf>
    <xf numFmtId="0" fontId="21" fillId="6" borderId="43"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21" fillId="6" borderId="25" xfId="0" applyFont="1" applyFill="1" applyBorder="1" applyAlignment="1">
      <alignment vertical="center" wrapText="1"/>
    </xf>
    <xf numFmtId="0" fontId="24" fillId="6" borderId="16" xfId="0" applyFont="1" applyFill="1" applyBorder="1" applyAlignment="1">
      <alignment vertical="center" wrapText="1"/>
    </xf>
  </cellXfs>
  <cellStyles count="59">
    <cellStyle name="Currency 2" xfId="53" xr:uid="{00000000-0005-0000-0000-000000000000}"/>
    <cellStyle name="Hyperlink" xfId="1" builtinId="8"/>
    <cellStyle name="Hyperlink 2" xfId="56" xr:uid="{00000000-0005-0000-0000-000002000000}"/>
    <cellStyle name="Normal" xfId="0" builtinId="0"/>
    <cellStyle name="Normal 2" xfId="52" xr:uid="{00000000-0005-0000-0000-000004000000}"/>
    <cellStyle name="Normal 2 2" xfId="58" xr:uid="{53C3366A-9632-4F86-A877-9653C467CCC7}"/>
    <cellStyle name="Normal 3" xfId="54" xr:uid="{00000000-0005-0000-0000-000005000000}"/>
    <cellStyle name="Normal 4" xfId="57" xr:uid="{F639F254-095D-4FDC-962A-206944120A56}"/>
    <cellStyle name="Normal 6" xfId="55" xr:uid="{00000000-0005-0000-0000-000006000000}"/>
    <cellStyle name="Normal_AFRPG10" xfId="2" xr:uid="{00000000-0005-0000-0000-000007000000}"/>
    <cellStyle name="Normal_AFRPG11" xfId="3" xr:uid="{00000000-0005-0000-0000-000008000000}"/>
    <cellStyle name="Normal_AFRPG12" xfId="4" xr:uid="{00000000-0005-0000-0000-000009000000}"/>
    <cellStyle name="Normal_AFRPG13" xfId="5" xr:uid="{00000000-0005-0000-0000-00000A000000}"/>
    <cellStyle name="Normal_AFRPG14" xfId="6" xr:uid="{00000000-0005-0000-0000-00000B000000}"/>
    <cellStyle name="Normal_AFRPG15" xfId="7" xr:uid="{00000000-0005-0000-0000-00000C000000}"/>
    <cellStyle name="Normal_AFRPG16" xfId="8" xr:uid="{00000000-0005-0000-0000-00000D000000}"/>
    <cellStyle name="Normal_AFRPG17" xfId="9" xr:uid="{00000000-0005-0000-0000-00000E000000}"/>
    <cellStyle name="Normal_AFRPG18" xfId="10" xr:uid="{00000000-0005-0000-0000-00000F000000}"/>
    <cellStyle name="Normal_AFRPG19" xfId="11" xr:uid="{00000000-0005-0000-0000-000010000000}"/>
    <cellStyle name="Normal_AFRPG20" xfId="12" xr:uid="{00000000-0005-0000-0000-000011000000}"/>
    <cellStyle name="Normal_AFRPG21" xfId="13" xr:uid="{00000000-0005-0000-0000-000012000000}"/>
    <cellStyle name="Normal_AFRPG22" xfId="14" xr:uid="{00000000-0005-0000-0000-000013000000}"/>
    <cellStyle name="Normal_AFRPG23" xfId="15" xr:uid="{00000000-0005-0000-0000-000014000000}"/>
    <cellStyle name="Normal_AFRPG24" xfId="16" xr:uid="{00000000-0005-0000-0000-000015000000}"/>
    <cellStyle name="Normal_AFRPG25" xfId="17" xr:uid="{00000000-0005-0000-0000-000016000000}"/>
    <cellStyle name="Normal_AFRPG26" xfId="18" xr:uid="{00000000-0005-0000-0000-000017000000}"/>
    <cellStyle name="Normal_AFRPG27" xfId="19" xr:uid="{00000000-0005-0000-0000-000018000000}"/>
    <cellStyle name="Normal_AFRPG28" xfId="20" xr:uid="{00000000-0005-0000-0000-000019000000}"/>
    <cellStyle name="Normal_AFRPG29" xfId="21" xr:uid="{00000000-0005-0000-0000-00001A000000}"/>
    <cellStyle name="Normal_AFRPG30" xfId="22" xr:uid="{00000000-0005-0000-0000-00001B000000}"/>
    <cellStyle name="Normal_AFRPG31" xfId="23" xr:uid="{00000000-0005-0000-0000-00001C000000}"/>
    <cellStyle name="Normal_AFRPG32" xfId="24" xr:uid="{00000000-0005-0000-0000-00001D000000}"/>
    <cellStyle name="Normal_AFRPG33" xfId="25" xr:uid="{00000000-0005-0000-0000-00001E000000}"/>
    <cellStyle name="Normal_AFRPG34" xfId="26" xr:uid="{00000000-0005-0000-0000-00001F000000}"/>
    <cellStyle name="Normal_AFRPG35" xfId="27" xr:uid="{00000000-0005-0000-0000-000020000000}"/>
    <cellStyle name="Normal_AFRPG36" xfId="28" xr:uid="{00000000-0005-0000-0000-000021000000}"/>
    <cellStyle name="Normal_AFRPG37" xfId="29" xr:uid="{00000000-0005-0000-0000-000022000000}"/>
    <cellStyle name="Normal_AFRPG38" xfId="30" xr:uid="{00000000-0005-0000-0000-000023000000}"/>
    <cellStyle name="Normal_AFRPG39" xfId="31" xr:uid="{00000000-0005-0000-0000-000024000000}"/>
    <cellStyle name="Normal_AFRPG40" xfId="32" xr:uid="{00000000-0005-0000-0000-000025000000}"/>
    <cellStyle name="Normal_AFRPG41" xfId="33" xr:uid="{00000000-0005-0000-0000-000026000000}"/>
    <cellStyle name="Normal_AFRPG42" xfId="34" xr:uid="{00000000-0005-0000-0000-000027000000}"/>
    <cellStyle name="Normal_AFRPG43" xfId="35" xr:uid="{00000000-0005-0000-0000-000028000000}"/>
    <cellStyle name="Normal_AFRPG44" xfId="36" xr:uid="{00000000-0005-0000-0000-000029000000}"/>
    <cellStyle name="Normal_AFRPG45" xfId="37" xr:uid="{00000000-0005-0000-0000-00002A000000}"/>
    <cellStyle name="Normal_AFRPG46" xfId="38" xr:uid="{00000000-0005-0000-0000-00002B000000}"/>
    <cellStyle name="Normal_AFRPG47" xfId="39" xr:uid="{00000000-0005-0000-0000-00002C000000}"/>
    <cellStyle name="Normal_AFRPG48" xfId="40" xr:uid="{00000000-0005-0000-0000-00002D000000}"/>
    <cellStyle name="Normal_AFRPG49" xfId="41" xr:uid="{00000000-0005-0000-0000-00002E000000}"/>
    <cellStyle name="Normal_AFRPG50" xfId="42" xr:uid="{00000000-0005-0000-0000-00002F000000}"/>
    <cellStyle name="Normal_AFRPG51" xfId="43" xr:uid="{00000000-0005-0000-0000-000030000000}"/>
    <cellStyle name="Normal_AFRPG52" xfId="44" xr:uid="{00000000-0005-0000-0000-000031000000}"/>
    <cellStyle name="Normal_AFRPG53" xfId="45" xr:uid="{00000000-0005-0000-0000-000032000000}"/>
    <cellStyle name="Normal_AFRPG54" xfId="46" xr:uid="{00000000-0005-0000-0000-000033000000}"/>
    <cellStyle name="Normal_AFRPG55" xfId="47" xr:uid="{00000000-0005-0000-0000-000034000000}"/>
    <cellStyle name="Normal_AFRPG56" xfId="48" xr:uid="{00000000-0005-0000-0000-000035000000}"/>
    <cellStyle name="Normal_AFRPG7" xfId="49" xr:uid="{00000000-0005-0000-0000-000036000000}"/>
    <cellStyle name="Normal_AFRPG8" xfId="50" xr:uid="{00000000-0005-0000-0000-000037000000}"/>
    <cellStyle name="Normal_AFRPG9" xfId="51" xr:uid="{00000000-0005-0000-0000-000038000000}"/>
  </cellStyles>
  <dxfs count="18">
    <dxf>
      <font>
        <b val="0"/>
        <i val="0"/>
        <color theme="1"/>
      </font>
    </dxf>
    <dxf>
      <font>
        <b/>
        <i val="0"/>
        <color rgb="FF00B050"/>
      </font>
    </dxf>
    <dxf>
      <font>
        <b/>
        <i val="0"/>
        <color rgb="FF00B050"/>
      </font>
    </dxf>
    <dxf>
      <font>
        <b/>
        <i val="0"/>
        <color rgb="FF00B050"/>
      </font>
    </dxf>
    <dxf>
      <font>
        <b/>
        <i val="0"/>
        <color rgb="FF00B050"/>
      </font>
    </dxf>
    <dxf>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0" formatCode="General"/>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8"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font>
      <alignment horizontal="center" vertical="bottom" textRotation="0" wrapText="1" indent="0" justifyLastLine="0" shrinkToFit="0" readingOrder="0"/>
    </dxf>
    <dxf>
      <font>
        <color rgb="FFFFFFCC"/>
      </font>
    </dxf>
    <dxf>
      <font>
        <color rgb="FFFFFFCC"/>
      </font>
    </dxf>
    <dxf>
      <font>
        <b val="0"/>
        <i/>
        <color theme="0" tint="-0.499984740745262"/>
      </font>
      <fill>
        <patternFill>
          <bgColor theme="0" tint="-4.9989318521683403E-2"/>
        </patternFill>
      </fill>
    </dxf>
    <dxf>
      <font>
        <b/>
        <i val="0"/>
        <color theme="1"/>
      </font>
    </dxf>
    <dxf>
      <font>
        <b val="0"/>
        <i/>
        <color theme="0" tint="-0.499984740745262"/>
      </font>
      <fill>
        <patternFill>
          <bgColor theme="0" tint="-4.9989318521683403E-2"/>
        </patternFill>
      </fill>
    </dxf>
    <dxf>
      <font>
        <b/>
        <i/>
        <color rgb="FFFF0000"/>
      </font>
    </dxf>
  </dxfs>
  <tableStyles count="1" defaultTableStyle="TableStyleMedium9" defaultPivotStyle="PivotStyleLight16">
    <tableStyle name="Invisible" pivot="0" table="0" count="0" xr9:uid="{E3CFF049-C0BA-4641-B304-F232234C3F4C}"/>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800000"/>
      <color rgb="FF800080"/>
      <color rgb="FFFFFFC0"/>
      <color rgb="FF000000"/>
      <color rgb="FFFFCC99"/>
      <color rgb="FFA6CAF0"/>
      <color rgb="FFFF0000"/>
      <color rgb="FFFFFF7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9</xdr:row>
      <xdr:rowOff>123825</xdr:rowOff>
    </xdr:from>
    <xdr:to>
      <xdr:col>8</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22</xdr:row>
          <xdr:rowOff>152400</xdr:rowOff>
        </xdr:from>
        <xdr:to>
          <xdr:col>9</xdr:col>
          <xdr:colOff>76200</xdr:colOff>
          <xdr:row>25</xdr:row>
          <xdr:rowOff>152400</xdr:rowOff>
        </xdr:to>
        <xdr:sp macro="" textlink="">
          <xdr:nvSpPr>
            <xdr:cNvPr id="99329" name="Button 1" hidden="1">
              <a:extLst>
                <a:ext uri="{63B3BB69-23CF-44E3-9099-C40C66FF867C}">
                  <a14:compatExt spid="_x0000_s99329"/>
                </a:ext>
                <a:ext uri="{FF2B5EF4-FFF2-40B4-BE49-F238E27FC236}">
                  <a16:creationId xmlns:a16="http://schemas.microsoft.com/office/drawing/2014/main" id="{00000000-0008-0000-0E00-000001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"To_Load" Folder</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67B17-D461-4031-AA35-DD91D85B8E65}" name="Table1" displayName="Table1" ref="B1:G996" totalsRowShown="0" headerRowDxfId="11">
  <autoFilter ref="B1:G996" xr:uid="{96A700FC-DC84-4985-8CCE-1A29C9677983}"/>
  <sortState xmlns:xlrd2="http://schemas.microsoft.com/office/spreadsheetml/2017/richdata2" ref="B2:G996">
    <sortCondition ref="B1:B996"/>
  </sortState>
  <tableColumns count="6">
    <tableColumn id="1" xr3:uid="{9D897087-E535-48CB-90D6-3DA57A502D13}" name="School District" dataDxfId="10"/>
    <tableColumn id="2" xr3:uid="{F0A74B19-0368-4C37-8017-5DC47AA800FE}" name="RCDT" dataDxfId="9"/>
    <tableColumn id="6" xr3:uid="{C964705A-C992-4C94-823B-69F5000A1923}" name="Type" dataDxfId="8"/>
    <tableColumn id="3" xr3:uid="{96BF3C60-532A-40FF-834D-E8F508FB247B}" name="Dist Type" dataDxfId="7">
      <calculatedColumnFormula>IF(OR(Table1[[#This Row],[Type]]=0,Table1[[#This Row],[Type]]&gt;=40),"JA","SD")</calculatedColumnFormula>
    </tableColumn>
    <tableColumn id="4" xr3:uid="{EA293A16-8E0D-46F6-B8B2-4B76E8D831EA}" name="County" dataDxfId="6"/>
    <tableColumn id="5" xr3:uid="{B15E3494-E82E-42EA-9503-DAF3B85D5174}" name="RCDTDash" dataDxfId="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abSelected="1" topLeftCell="A31" zoomScale="115" zoomScaleNormal="115" workbookViewId="0">
      <selection activeCell="E56" sqref="E56:J56"/>
    </sheetView>
  </sheetViews>
  <sheetFormatPr defaultColWidth="9.140625" defaultRowHeight="10.15" customHeight="1" x14ac:dyDescent="0.2"/>
  <cols>
    <col min="1" max="1" width="3.7109375" style="144" customWidth="1"/>
    <col min="2" max="2" width="2.28515625" style="144" customWidth="1"/>
    <col min="3" max="3" width="6.42578125" style="144" customWidth="1"/>
    <col min="4" max="4" width="5.140625" style="144" customWidth="1"/>
    <col min="5" max="5" width="5.7109375" style="144" customWidth="1"/>
    <col min="6" max="6" width="4.42578125" style="144" customWidth="1"/>
    <col min="7" max="7" width="7.140625" style="144" customWidth="1"/>
    <col min="8" max="8" width="10.85546875" style="144" customWidth="1"/>
    <col min="9" max="9" width="6.140625" style="144" customWidth="1"/>
    <col min="10" max="10" width="5.5703125" style="144" customWidth="1"/>
    <col min="11" max="11" width="6.85546875" style="144" customWidth="1"/>
    <col min="12" max="12" width="5.5703125" style="144" customWidth="1"/>
    <col min="13" max="13" width="3.85546875" style="144" customWidth="1"/>
    <col min="14" max="14" width="7" style="144" customWidth="1"/>
    <col min="15" max="15" width="7.28515625" style="144" customWidth="1"/>
    <col min="16" max="16" width="5" style="144" customWidth="1"/>
    <col min="17" max="17" width="5.7109375" style="144" customWidth="1"/>
    <col min="18" max="18" width="6.140625" style="144" customWidth="1"/>
    <col min="19" max="19" width="3.5703125" style="144" customWidth="1"/>
    <col min="20" max="20" width="5.140625" style="144" customWidth="1"/>
    <col min="21" max="21" width="0.42578125" style="144" customWidth="1"/>
    <col min="22" max="22" width="4.7109375" style="144" customWidth="1"/>
    <col min="23" max="23" width="3.5703125" style="144" customWidth="1"/>
    <col min="24" max="24" width="5.7109375" style="144" customWidth="1"/>
    <col min="25" max="25" width="9.140625" style="657"/>
    <col min="26" max="16384" width="9.140625" style="144"/>
  </cols>
  <sheetData>
    <row r="1" spans="1:29" ht="12.2" customHeight="1" x14ac:dyDescent="0.2">
      <c r="A1" s="146" t="s">
        <v>1758</v>
      </c>
      <c r="G1" s="1666" t="s">
        <v>229</v>
      </c>
      <c r="H1" s="1666"/>
      <c r="I1" s="1666"/>
      <c r="J1" s="1666"/>
      <c r="K1" s="1666"/>
      <c r="L1" s="1666"/>
      <c r="M1" s="1666"/>
      <c r="N1" s="1666"/>
      <c r="O1" s="1666"/>
    </row>
    <row r="2" spans="1:29" ht="12.2" customHeight="1" thickBot="1" x14ac:dyDescent="0.25">
      <c r="B2" s="1657" t="str">
        <f>IF(ISBLANK(H13),"",IF(VLOOKUP($H$13,Table1[],4,FALSE)="SD","X","0"))</f>
        <v>X</v>
      </c>
      <c r="C2" s="150" t="s">
        <v>774</v>
      </c>
      <c r="D2" s="150"/>
      <c r="G2" s="1667" t="s">
        <v>77</v>
      </c>
      <c r="H2" s="1667"/>
      <c r="I2" s="1667"/>
      <c r="J2" s="1667"/>
      <c r="K2" s="1667"/>
      <c r="L2" s="1667"/>
      <c r="M2" s="1667"/>
      <c r="N2" s="1667"/>
      <c r="O2" s="1667"/>
      <c r="Q2" s="145"/>
      <c r="R2" s="145"/>
      <c r="S2" s="145"/>
      <c r="T2" s="145"/>
    </row>
    <row r="3" spans="1:29" ht="12.2" customHeight="1" thickBot="1" x14ac:dyDescent="0.25">
      <c r="B3" s="1658" t="str">
        <f>IF(ISBLANK(H13),"",IF(VLOOKUP($H$13,Table1[],4,FALSE)="JA","X","0"))</f>
        <v>0</v>
      </c>
      <c r="C3" s="150" t="s">
        <v>3036</v>
      </c>
      <c r="D3" s="150"/>
      <c r="G3" s="1667"/>
      <c r="H3" s="1667"/>
      <c r="I3" s="1667"/>
      <c r="J3" s="1667"/>
      <c r="K3" s="1667"/>
      <c r="L3" s="1667"/>
      <c r="M3" s="1667"/>
      <c r="N3" s="1667"/>
      <c r="O3" s="1667"/>
      <c r="P3" s="1669" t="str">
        <f>'DeficitBudgetSum Calc 22'!D7 &amp; " "</f>
        <v xml:space="preserve">Balanced budget; no Deficit Reduction Plan is required. </v>
      </c>
      <c r="Q3" s="1670"/>
      <c r="R3" s="1670"/>
      <c r="S3" s="1670"/>
      <c r="T3" s="1671"/>
      <c r="U3" s="147"/>
    </row>
    <row r="4" spans="1:29" ht="12.2" customHeight="1" x14ac:dyDescent="0.2">
      <c r="G4" s="1668" t="s">
        <v>773</v>
      </c>
      <c r="H4" s="1668"/>
      <c r="I4" s="1668"/>
      <c r="J4" s="1668"/>
      <c r="K4" s="1668"/>
      <c r="L4" s="1668"/>
      <c r="M4" s="1668"/>
      <c r="N4" s="1668"/>
      <c r="O4" s="1668"/>
      <c r="P4" s="1672"/>
      <c r="Q4" s="1673"/>
      <c r="R4" s="1673"/>
      <c r="S4" s="1673"/>
      <c r="T4" s="1674"/>
    </row>
    <row r="5" spans="1:29" ht="12.75" customHeight="1" x14ac:dyDescent="0.2">
      <c r="A5" s="146" t="s">
        <v>463</v>
      </c>
      <c r="B5" s="148"/>
      <c r="C5" s="149"/>
      <c r="D5" s="149"/>
      <c r="G5" s="1683" t="str">
        <f>"July 1, "&amp;'B23'!E2-1</f>
        <v>July 1, 2022</v>
      </c>
      <c r="H5" s="1683"/>
      <c r="I5" s="1683"/>
      <c r="J5" s="1683"/>
      <c r="K5" s="681" t="str">
        <f>"- June 30, "&amp;'B23'!E2</f>
        <v>- June 30, 2023</v>
      </c>
      <c r="L5" s="680"/>
      <c r="M5" s="680"/>
      <c r="N5" s="680"/>
      <c r="O5" s="680"/>
      <c r="P5" s="1672"/>
      <c r="Q5" s="1673"/>
      <c r="R5" s="1673"/>
      <c r="S5" s="1673"/>
      <c r="T5" s="1674"/>
    </row>
    <row r="6" spans="1:29" ht="12.75" customHeight="1" thickBot="1" x14ac:dyDescent="0.25">
      <c r="B6" s="1684" t="s">
        <v>3320</v>
      </c>
      <c r="C6" s="1685"/>
      <c r="D6" s="1685"/>
      <c r="E6" s="1685"/>
      <c r="F6" s="1685"/>
      <c r="G6" s="1686"/>
      <c r="O6" s="151"/>
      <c r="P6" s="1672"/>
      <c r="Q6" s="1673"/>
      <c r="R6" s="1673"/>
      <c r="S6" s="1673"/>
      <c r="T6" s="1674"/>
    </row>
    <row r="7" spans="1:29" ht="3.75" customHeight="1" x14ac:dyDescent="0.2">
      <c r="B7" s="152"/>
      <c r="C7" s="150"/>
      <c r="D7" s="150"/>
      <c r="O7" s="151"/>
      <c r="P7" s="1672"/>
      <c r="Q7" s="1673"/>
      <c r="R7" s="1673"/>
      <c r="S7" s="1673"/>
      <c r="T7" s="1674"/>
    </row>
    <row r="8" spans="1:29" ht="8.25" customHeight="1" x14ac:dyDescent="0.2">
      <c r="B8" s="152"/>
      <c r="C8" s="153"/>
      <c r="D8" s="153"/>
      <c r="E8" s="153"/>
      <c r="F8" s="153"/>
      <c r="G8" s="153"/>
      <c r="H8" s="153"/>
      <c r="I8" s="153"/>
      <c r="J8" s="153"/>
      <c r="K8" s="154"/>
      <c r="L8" s="154"/>
      <c r="M8" s="154"/>
      <c r="N8" s="154"/>
      <c r="O8" s="151"/>
      <c r="P8" s="1672"/>
      <c r="Q8" s="1673"/>
      <c r="R8" s="1673"/>
      <c r="S8" s="1673"/>
      <c r="T8" s="1674"/>
    </row>
    <row r="9" spans="1:29" ht="5.25" customHeight="1" x14ac:dyDescent="0.2">
      <c r="B9" s="148"/>
      <c r="C9" s="153"/>
      <c r="D9" s="153"/>
      <c r="E9" s="153"/>
      <c r="F9" s="153"/>
      <c r="G9" s="153"/>
      <c r="H9" s="153"/>
      <c r="I9" s="153"/>
      <c r="J9" s="153"/>
      <c r="M9" s="151"/>
      <c r="N9" s="151"/>
      <c r="O9" s="151"/>
      <c r="P9" s="1672"/>
      <c r="Q9" s="1673"/>
      <c r="R9" s="1673"/>
      <c r="S9" s="1673"/>
      <c r="T9" s="1674"/>
      <c r="U9" s="155"/>
      <c r="V9" s="155"/>
      <c r="W9" s="155"/>
      <c r="X9" s="155"/>
      <c r="Y9" s="658"/>
      <c r="Z9" s="155"/>
      <c r="AA9" s="155"/>
      <c r="AB9" s="155"/>
      <c r="AC9" s="155"/>
    </row>
    <row r="10" spans="1:29" ht="13.5" customHeight="1" x14ac:dyDescent="0.2">
      <c r="B10" s="152"/>
      <c r="C10" s="156" t="s">
        <v>218</v>
      </c>
      <c r="D10" s="156"/>
      <c r="G10" s="157"/>
      <c r="H10" s="1681"/>
      <c r="I10" s="1682"/>
      <c r="J10" s="1682"/>
      <c r="K10" s="158"/>
      <c r="L10" s="158"/>
      <c r="M10" s="158"/>
      <c r="N10" s="158"/>
      <c r="O10" s="151"/>
      <c r="P10" s="1672"/>
      <c r="Q10" s="1673"/>
      <c r="R10" s="1673"/>
      <c r="S10" s="1673"/>
      <c r="T10" s="1674"/>
    </row>
    <row r="11" spans="1:29" ht="9.75" customHeight="1" x14ac:dyDescent="0.2">
      <c r="G11" s="159"/>
      <c r="H11" s="1687" t="s">
        <v>519</v>
      </c>
      <c r="I11" s="1687"/>
      <c r="J11" s="1687"/>
      <c r="K11" s="160"/>
      <c r="L11" s="160"/>
      <c r="M11" s="151"/>
      <c r="N11" s="151"/>
      <c r="O11" s="151"/>
      <c r="P11" s="1672"/>
      <c r="Q11" s="1673"/>
      <c r="R11" s="1673"/>
      <c r="S11" s="1673"/>
      <c r="T11" s="1674"/>
    </row>
    <row r="12" spans="1:29" ht="7.5" customHeight="1" x14ac:dyDescent="0.2">
      <c r="G12" s="159"/>
      <c r="H12" s="161"/>
      <c r="I12" s="161"/>
      <c r="J12" s="161"/>
      <c r="K12" s="160"/>
      <c r="L12" s="160"/>
      <c r="M12" s="151"/>
      <c r="N12" s="151"/>
      <c r="O12" s="151"/>
      <c r="P12" s="1672"/>
      <c r="Q12" s="1673"/>
      <c r="R12" s="1673"/>
      <c r="S12" s="1673"/>
      <c r="T12" s="1674"/>
    </row>
    <row r="13" spans="1:29" ht="13.5" customHeight="1" thickBot="1" x14ac:dyDescent="0.25">
      <c r="C13" s="156" t="s">
        <v>252</v>
      </c>
      <c r="D13" s="156"/>
      <c r="E13" s="162"/>
      <c r="F13" s="163"/>
      <c r="H13" s="1678" t="s">
        <v>1558</v>
      </c>
      <c r="I13" s="1679"/>
      <c r="J13" s="1679"/>
      <c r="K13" s="1679"/>
      <c r="L13" s="1679"/>
      <c r="M13" s="1680"/>
      <c r="N13" s="158"/>
      <c r="O13" s="151"/>
      <c r="P13" s="1675"/>
      <c r="Q13" s="1676"/>
      <c r="R13" s="1676"/>
      <c r="S13" s="1676"/>
      <c r="T13" s="1677"/>
      <c r="Y13" s="659">
        <f>IF(H14&lt;&gt;"Select dist name from drop-down on line above",1,0)</f>
        <v>1</v>
      </c>
    </row>
    <row r="14" spans="1:29" ht="13.5" customHeight="1" x14ac:dyDescent="0.2">
      <c r="C14" s="164" t="s">
        <v>253</v>
      </c>
      <c r="D14" s="164"/>
      <c r="E14" s="165"/>
      <c r="F14" s="166"/>
      <c r="G14" s="166"/>
      <c r="H14" s="1688">
        <f>IFERROR(VLOOKUP($H$13,Table1[],2,FALSE),"Select dist name from drop-down on line above")</f>
        <v>5016202017</v>
      </c>
      <c r="I14" s="1688"/>
      <c r="J14" s="1688"/>
      <c r="K14" s="1688"/>
      <c r="L14" s="1688"/>
      <c r="M14" s="1688"/>
      <c r="O14" s="151"/>
      <c r="P14" s="665" t="str">
        <f>_xlfn.IFNA(VLOOKUP(H13,Table1[],6),"")</f>
        <v>05-016-2020-17</v>
      </c>
      <c r="Q14" s="167"/>
      <c r="R14" s="167"/>
      <c r="S14" s="167"/>
      <c r="T14" s="167"/>
    </row>
    <row r="15" spans="1:29" ht="9.75" customHeight="1" x14ac:dyDescent="0.2">
      <c r="A15" s="165"/>
      <c r="B15" s="165"/>
      <c r="C15" s="165"/>
      <c r="D15" s="165"/>
      <c r="E15" s="165"/>
      <c r="F15" s="168"/>
      <c r="G15" s="168"/>
      <c r="H15" s="168"/>
      <c r="I15" s="154"/>
      <c r="J15" s="154"/>
      <c r="K15" s="154"/>
    </row>
    <row r="16" spans="1:29" ht="16.5" customHeight="1" x14ac:dyDescent="0.2">
      <c r="C16" s="696" t="str">
        <f>"If your FY"&amp;'B23'!E2-1</f>
        <v>If your FY2022</v>
      </c>
      <c r="D16" s="696"/>
      <c r="E16" s="695" t="str">
        <f>"AFR states that you need to do a deficit reduction plan and your FY"&amp;'B23'!E2</f>
        <v>AFR states that you need to do a deficit reduction plan and your FY2023</v>
      </c>
      <c r="F16" s="682"/>
      <c r="G16" s="682"/>
      <c r="H16" s="682"/>
      <c r="I16" s="682"/>
      <c r="J16" s="682"/>
      <c r="K16" s="682"/>
      <c r="L16" s="682"/>
      <c r="M16" s="682"/>
      <c r="N16" s="695" t="s">
        <v>3050</v>
      </c>
      <c r="O16" s="695"/>
      <c r="P16" s="682"/>
      <c r="Q16" s="682"/>
      <c r="R16" s="682"/>
      <c r="S16" s="682"/>
      <c r="T16" s="682"/>
    </row>
    <row r="17" spans="1:25" ht="12.75" customHeight="1" x14ac:dyDescent="0.2">
      <c r="A17" s="682"/>
      <c r="E17" s="695" t="s">
        <v>3051</v>
      </c>
      <c r="F17" s="682"/>
      <c r="G17" s="682"/>
      <c r="H17" s="682"/>
      <c r="I17" s="682"/>
      <c r="J17" s="682"/>
      <c r="K17" s="682"/>
      <c r="L17" s="682"/>
      <c r="M17" s="682"/>
      <c r="N17" s="682"/>
      <c r="O17" s="682"/>
      <c r="P17" s="682"/>
      <c r="Q17" s="682"/>
      <c r="R17" s="682"/>
      <c r="S17" s="682"/>
      <c r="T17" s="682"/>
    </row>
    <row r="18" spans="1:25" ht="2.25" hidden="1" customHeight="1" x14ac:dyDescent="0.2">
      <c r="A18" s="682"/>
      <c r="B18" s="682"/>
      <c r="C18" s="682"/>
      <c r="D18" s="682"/>
      <c r="E18" s="682"/>
      <c r="F18" s="682"/>
      <c r="G18" s="682"/>
      <c r="H18" s="682"/>
      <c r="I18" s="682"/>
      <c r="J18" s="682"/>
      <c r="K18" s="682"/>
      <c r="L18" s="682"/>
      <c r="M18" s="682"/>
      <c r="N18" s="682"/>
      <c r="O18" s="682"/>
      <c r="P18" s="682"/>
      <c r="Q18" s="682"/>
      <c r="R18" s="682"/>
      <c r="S18" s="682"/>
      <c r="T18" s="682"/>
    </row>
    <row r="19" spans="1:25" ht="16.5" hidden="1" customHeight="1" x14ac:dyDescent="0.2">
      <c r="A19" s="169"/>
      <c r="B19" s="169"/>
      <c r="C19" s="169"/>
      <c r="D19" s="169"/>
      <c r="E19" s="169"/>
      <c r="F19" s="170"/>
      <c r="G19" s="170"/>
      <c r="H19" s="170"/>
      <c r="I19" s="171"/>
      <c r="J19" s="171"/>
      <c r="K19" s="171"/>
      <c r="L19" s="172"/>
      <c r="M19" s="172"/>
      <c r="N19" s="172"/>
      <c r="O19" s="172"/>
      <c r="P19" s="172"/>
      <c r="Q19" s="172"/>
      <c r="R19" s="172"/>
      <c r="S19" s="172"/>
      <c r="T19" s="172"/>
    </row>
    <row r="20" spans="1:25" ht="16.5" hidden="1" customHeight="1" x14ac:dyDescent="0.2">
      <c r="A20" s="165"/>
      <c r="B20" s="165"/>
      <c r="C20" s="165"/>
      <c r="D20" s="165"/>
      <c r="E20" s="165"/>
      <c r="F20" s="168"/>
      <c r="G20" s="168"/>
      <c r="H20" s="168"/>
      <c r="I20" s="154"/>
      <c r="J20" s="154"/>
      <c r="K20" s="154"/>
    </row>
    <row r="21" spans="1:25" ht="6.75" customHeight="1" thickBot="1" x14ac:dyDescent="0.25">
      <c r="A21" s="165"/>
      <c r="B21" s="165"/>
      <c r="C21" s="165"/>
      <c r="D21" s="165"/>
      <c r="E21" s="165"/>
      <c r="F21" s="168"/>
      <c r="G21" s="168"/>
      <c r="H21" s="168"/>
      <c r="I21" s="154"/>
      <c r="J21" s="154"/>
      <c r="K21" s="154"/>
    </row>
    <row r="22" spans="1:25" ht="16.5" hidden="1" customHeight="1" thickBot="1" x14ac:dyDescent="0.25">
      <c r="A22" s="173"/>
      <c r="B22" s="173"/>
      <c r="C22" s="173"/>
      <c r="D22" s="173"/>
      <c r="E22" s="173"/>
      <c r="F22" s="174"/>
      <c r="G22" s="174"/>
      <c r="H22" s="174"/>
      <c r="I22" s="175"/>
      <c r="J22" s="175"/>
      <c r="K22" s="175"/>
      <c r="L22" s="175"/>
      <c r="M22" s="175"/>
      <c r="N22" s="175"/>
      <c r="O22" s="175"/>
      <c r="P22" s="175"/>
      <c r="Q22" s="175"/>
      <c r="R22" s="175"/>
      <c r="S22" s="175"/>
      <c r="T22" s="176"/>
    </row>
    <row r="23" spans="1:25" s="154" customFormat="1" ht="2.25" customHeight="1" thickTop="1" x14ac:dyDescent="0.2">
      <c r="A23" s="177"/>
      <c r="B23" s="177"/>
      <c r="C23" s="177"/>
      <c r="D23" s="177"/>
      <c r="E23" s="177"/>
      <c r="F23" s="177"/>
      <c r="G23" s="177"/>
      <c r="H23" s="177"/>
      <c r="I23" s="178"/>
      <c r="J23" s="178"/>
      <c r="K23" s="177"/>
      <c r="L23" s="177"/>
      <c r="M23" s="177"/>
      <c r="N23" s="177"/>
      <c r="O23" s="177"/>
      <c r="P23" s="177"/>
      <c r="Q23" s="177"/>
      <c r="R23" s="177"/>
      <c r="S23" s="177"/>
      <c r="Y23" s="660"/>
    </row>
    <row r="24" spans="1:25" ht="15" customHeight="1" x14ac:dyDescent="0.2">
      <c r="C24" s="697" t="s">
        <v>3052</v>
      </c>
      <c r="D24" s="697"/>
      <c r="E24" s="1698" t="str">
        <f>IF(H13=" Click here to choose your district from drop-down list","",H13)</f>
        <v>Evanston Twp HSD 202</v>
      </c>
      <c r="F24" s="1698"/>
      <c r="G24" s="1698"/>
      <c r="H24" s="1698"/>
      <c r="I24" s="1698"/>
      <c r="J24" s="1698"/>
      <c r="K24" s="1698"/>
      <c r="L24" s="179" t="s">
        <v>311</v>
      </c>
      <c r="M24" s="180"/>
      <c r="N24" s="1700" t="str">
        <f>IFERROR(VLOOKUP($H$13,'District Dropdown'!$B$2:$F$996,5,FALSE),"")</f>
        <v>Cook</v>
      </c>
      <c r="O24" s="1700"/>
      <c r="P24" s="1700"/>
      <c r="Q24" s="1700"/>
      <c r="R24" s="1700"/>
      <c r="S24" s="144" t="s">
        <v>394</v>
      </c>
    </row>
    <row r="25" spans="1:25" ht="15" customHeight="1" x14ac:dyDescent="0.25">
      <c r="B25" s="1595" t="s">
        <v>3053</v>
      </c>
      <c r="H25" s="181"/>
      <c r="I25" s="1699" t="str">
        <f>"July 1, "&amp;'B23'!E2-1</f>
        <v>July 1, 2022</v>
      </c>
      <c r="J25" s="1699"/>
      <c r="K25" s="1699"/>
      <c r="L25" s="1702" t="s">
        <v>3054</v>
      </c>
      <c r="M25" s="1702"/>
      <c r="N25" s="1693" t="str">
        <f>"June 30, "&amp;'B23'!E2</f>
        <v>June 30, 2023</v>
      </c>
      <c r="O25" s="1693"/>
      <c r="P25" s="1693"/>
      <c r="Q25" s="1693"/>
      <c r="R25" s="144" t="s">
        <v>395</v>
      </c>
    </row>
    <row r="26" spans="1:25" ht="9" customHeight="1" x14ac:dyDescent="0.25">
      <c r="H26" s="181"/>
      <c r="I26" s="182"/>
      <c r="J26" s="182"/>
      <c r="K26" s="182"/>
      <c r="L26" s="181"/>
      <c r="M26" s="154"/>
      <c r="N26" s="154"/>
      <c r="O26" s="183"/>
      <c r="P26" s="183"/>
      <c r="Q26" s="183"/>
      <c r="R26" s="184"/>
    </row>
    <row r="27" spans="1:25" ht="15" customHeight="1" x14ac:dyDescent="0.2">
      <c r="C27" s="1596" t="s">
        <v>3055</v>
      </c>
      <c r="D27" s="1596"/>
      <c r="E27" s="698"/>
      <c r="F27" s="698"/>
      <c r="G27" s="698"/>
      <c r="H27" s="1697" t="str">
        <f>IF(H13=" Click here to choose your district from drop-down list","",H13)</f>
        <v>Evanston Twp HSD 202</v>
      </c>
      <c r="I27" s="1697"/>
      <c r="J27" s="1697"/>
      <c r="K27" s="1697"/>
      <c r="L27" s="1697"/>
      <c r="M27" s="1697"/>
      <c r="N27" s="1697"/>
      <c r="O27" s="1697"/>
      <c r="P27" s="1697"/>
      <c r="Q27" s="1697"/>
      <c r="R27" s="1697"/>
      <c r="S27" s="144" t="s">
        <v>221</v>
      </c>
    </row>
    <row r="28" spans="1:25" ht="15" customHeight="1" x14ac:dyDescent="0.2">
      <c r="A28" s="684" t="s">
        <v>674</v>
      </c>
      <c r="D28" s="1701" t="str">
        <f>N24</f>
        <v>Cook</v>
      </c>
      <c r="E28" s="1701"/>
      <c r="F28" s="1701"/>
      <c r="G28" s="1701"/>
      <c r="H28" s="1701"/>
      <c r="I28" s="1597" t="s">
        <v>3293</v>
      </c>
    </row>
    <row r="29" spans="1:25" ht="15" customHeight="1" x14ac:dyDescent="0.2">
      <c r="A29" s="1596" t="s">
        <v>3056</v>
      </c>
    </row>
    <row r="30" spans="1:25" ht="9" customHeight="1" x14ac:dyDescent="0.2"/>
    <row r="31" spans="1:25" ht="15" customHeight="1" x14ac:dyDescent="0.2">
      <c r="C31" s="1598" t="s">
        <v>3057</v>
      </c>
      <c r="D31" s="1598"/>
      <c r="J31" s="154"/>
      <c r="K31" s="1555" t="s">
        <v>3301</v>
      </c>
      <c r="L31" s="179" t="s">
        <v>260</v>
      </c>
      <c r="M31" s="1689" t="s">
        <v>3299</v>
      </c>
      <c r="N31" s="1689"/>
      <c r="O31" s="1689"/>
      <c r="P31" s="697" t="s">
        <v>3061</v>
      </c>
      <c r="Q31" s="1557" t="s">
        <v>3300</v>
      </c>
      <c r="R31" s="144" t="s">
        <v>394</v>
      </c>
    </row>
    <row r="32" spans="1:25" ht="15" customHeight="1" x14ac:dyDescent="0.2">
      <c r="A32" s="1595" t="s">
        <v>3060</v>
      </c>
    </row>
    <row r="33" spans="1:25" ht="9" customHeight="1" x14ac:dyDescent="0.2">
      <c r="A33" s="1595"/>
    </row>
    <row r="34" spans="1:25" ht="15" customHeight="1" x14ac:dyDescent="0.2">
      <c r="C34" s="1595" t="s">
        <v>3058</v>
      </c>
      <c r="D34" s="1595"/>
    </row>
    <row r="35" spans="1:25" ht="9" customHeight="1" x14ac:dyDescent="0.2"/>
    <row r="36" spans="1:25" ht="15" customHeight="1" x14ac:dyDescent="0.2">
      <c r="C36" s="1595" t="s">
        <v>3059</v>
      </c>
      <c r="D36" s="1595"/>
    </row>
    <row r="37" spans="1:25" ht="15" customHeight="1" x14ac:dyDescent="0.25">
      <c r="A37" s="1595" t="s">
        <v>3071</v>
      </c>
      <c r="E37" s="1699" t="str">
        <f>I25</f>
        <v>July 1, 2022</v>
      </c>
      <c r="F37" s="1699"/>
      <c r="G37" s="1699"/>
      <c r="H37" s="1694" t="s">
        <v>3054</v>
      </c>
      <c r="I37" s="1694"/>
      <c r="J37" s="1699" t="str">
        <f>N25</f>
        <v>June 30, 2023</v>
      </c>
      <c r="K37" s="1699"/>
      <c r="L37" s="1699"/>
      <c r="M37" s="185" t="s">
        <v>395</v>
      </c>
      <c r="N37" s="185"/>
      <c r="O37" s="186"/>
    </row>
    <row r="38" spans="1:25" ht="9" customHeight="1" x14ac:dyDescent="0.2"/>
    <row r="39" spans="1:25" ht="15" customHeight="1" x14ac:dyDescent="0.2">
      <c r="C39" s="1595" t="s">
        <v>3062</v>
      </c>
      <c r="D39" s="1595"/>
    </row>
    <row r="40" spans="1:25" ht="15" customHeight="1" x14ac:dyDescent="0.2">
      <c r="A40" s="697" t="s">
        <v>3063</v>
      </c>
    </row>
    <row r="41" spans="1:25" ht="7.5" customHeight="1" x14ac:dyDescent="0.2"/>
    <row r="42" spans="1:25" ht="15" customHeight="1" x14ac:dyDescent="0.2">
      <c r="A42" s="1703" t="s">
        <v>3064</v>
      </c>
      <c r="B42" s="1703"/>
      <c r="C42" s="1703"/>
      <c r="D42" s="1703"/>
      <c r="E42" s="1703"/>
      <c r="F42" s="1703"/>
      <c r="G42" s="1703"/>
      <c r="H42" s="1703"/>
      <c r="I42" s="1703"/>
      <c r="J42" s="1703"/>
      <c r="K42" s="1703"/>
      <c r="L42" s="1703"/>
      <c r="M42" s="1703"/>
      <c r="N42" s="1703"/>
      <c r="O42" s="1703"/>
      <c r="P42" s="1703"/>
      <c r="Q42" s="1703"/>
      <c r="R42" s="1703"/>
    </row>
    <row r="43" spans="1:25" ht="14.1" customHeight="1" x14ac:dyDescent="0.2">
      <c r="C43" s="1598" t="s">
        <v>3065</v>
      </c>
      <c r="D43" s="1598"/>
      <c r="N43" s="1556" t="s">
        <v>3301</v>
      </c>
      <c r="O43" s="701" t="s">
        <v>3066</v>
      </c>
      <c r="P43" s="1695" t="s">
        <v>3299</v>
      </c>
      <c r="Q43" s="1695"/>
      <c r="R43" s="1695"/>
      <c r="S43" s="699" t="s">
        <v>3069</v>
      </c>
      <c r="T43" s="1557" t="s">
        <v>3300</v>
      </c>
      <c r="X43" s="657"/>
      <c r="Y43" s="144"/>
    </row>
    <row r="44" spans="1:25" ht="15.6" customHeight="1" x14ac:dyDescent="0.2">
      <c r="A44" s="1596" t="s">
        <v>3070</v>
      </c>
      <c r="C44" s="1596"/>
      <c r="D44" s="1596"/>
      <c r="E44" s="1696"/>
      <c r="F44" s="1696"/>
      <c r="G44" s="1596" t="s">
        <v>3067</v>
      </c>
      <c r="H44" s="1555"/>
      <c r="I44" s="1596" t="s">
        <v>3068</v>
      </c>
    </row>
    <row r="45" spans="1:25" ht="6" customHeight="1" x14ac:dyDescent="0.2">
      <c r="C45" s="154"/>
      <c r="D45" s="154"/>
      <c r="E45" s="189"/>
      <c r="F45" s="190"/>
      <c r="G45" s="187"/>
      <c r="H45" s="191"/>
      <c r="I45" s="154"/>
      <c r="J45" s="154"/>
      <c r="K45" s="180"/>
      <c r="L45" s="188"/>
      <c r="M45" s="187"/>
      <c r="N45" s="187"/>
      <c r="O45" s="188"/>
      <c r="P45" s="154"/>
      <c r="Q45" s="154"/>
    </row>
    <row r="46" spans="1:25" ht="12" hidden="1" x14ac:dyDescent="0.2"/>
    <row r="47" spans="1:25" ht="12" x14ac:dyDescent="0.2">
      <c r="F47" s="192"/>
    </row>
    <row r="48" spans="1:25" ht="12.2" customHeight="1" x14ac:dyDescent="0.2">
      <c r="E48" s="1704" t="s">
        <v>672</v>
      </c>
      <c r="F48" s="1705"/>
      <c r="G48" s="1705"/>
      <c r="H48" s="1705"/>
      <c r="I48" s="1705"/>
      <c r="J48" s="1706"/>
      <c r="K48" s="1704" t="s">
        <v>673</v>
      </c>
      <c r="L48" s="1705"/>
      <c r="M48" s="1705"/>
      <c r="N48" s="1705"/>
      <c r="O48" s="1705"/>
      <c r="P48" s="1705"/>
      <c r="Q48" s="1706"/>
    </row>
    <row r="49" spans="1:22" ht="18" customHeight="1" x14ac:dyDescent="0.2">
      <c r="E49" s="1690" t="s">
        <v>3321</v>
      </c>
      <c r="F49" s="1691"/>
      <c r="G49" s="1691"/>
      <c r="H49" s="1691"/>
      <c r="I49" s="1691"/>
      <c r="J49" s="1692"/>
      <c r="K49" s="1690"/>
      <c r="L49" s="1691"/>
      <c r="M49" s="1691"/>
      <c r="N49" s="1691"/>
      <c r="O49" s="1691"/>
      <c r="P49" s="1691"/>
      <c r="Q49" s="1692"/>
    </row>
    <row r="50" spans="1:22" ht="18" customHeight="1" x14ac:dyDescent="0.2">
      <c r="E50" s="1690" t="s">
        <v>3322</v>
      </c>
      <c r="F50" s="1691"/>
      <c r="G50" s="1691"/>
      <c r="H50" s="1691"/>
      <c r="I50" s="1691"/>
      <c r="J50" s="1692"/>
      <c r="K50" s="1690"/>
      <c r="L50" s="1691"/>
      <c r="M50" s="1691"/>
      <c r="N50" s="1691"/>
      <c r="O50" s="1691"/>
      <c r="P50" s="1691"/>
      <c r="Q50" s="1692"/>
    </row>
    <row r="51" spans="1:22" ht="18" customHeight="1" x14ac:dyDescent="0.2">
      <c r="E51" s="1690" t="s">
        <v>3323</v>
      </c>
      <c r="F51" s="1691"/>
      <c r="G51" s="1691"/>
      <c r="H51" s="1691"/>
      <c r="I51" s="1691"/>
      <c r="J51" s="1692"/>
      <c r="K51" s="1690"/>
      <c r="L51" s="1691"/>
      <c r="M51" s="1691"/>
      <c r="N51" s="1691"/>
      <c r="O51" s="1691"/>
      <c r="P51" s="1691"/>
      <c r="Q51" s="1692"/>
    </row>
    <row r="52" spans="1:22" ht="18" customHeight="1" x14ac:dyDescent="0.2">
      <c r="E52" s="1690" t="s">
        <v>3324</v>
      </c>
      <c r="F52" s="1691"/>
      <c r="G52" s="1691"/>
      <c r="H52" s="1691"/>
      <c r="I52" s="1691"/>
      <c r="J52" s="1692"/>
      <c r="K52" s="1690"/>
      <c r="L52" s="1691"/>
      <c r="M52" s="1691"/>
      <c r="N52" s="1691"/>
      <c r="O52" s="1691"/>
      <c r="P52" s="1691"/>
      <c r="Q52" s="1692"/>
    </row>
    <row r="53" spans="1:22" ht="18" customHeight="1" x14ac:dyDescent="0.2">
      <c r="E53" s="1690" t="s">
        <v>3325</v>
      </c>
      <c r="F53" s="1691"/>
      <c r="G53" s="1691"/>
      <c r="H53" s="1691"/>
      <c r="I53" s="1691"/>
      <c r="J53" s="1692"/>
      <c r="K53" s="1690"/>
      <c r="L53" s="1691"/>
      <c r="M53" s="1691"/>
      <c r="N53" s="1691"/>
      <c r="O53" s="1691"/>
      <c r="P53" s="1691"/>
      <c r="Q53" s="1692"/>
    </row>
    <row r="54" spans="1:22" ht="18" customHeight="1" x14ac:dyDescent="0.2">
      <c r="E54" s="1690" t="s">
        <v>3326</v>
      </c>
      <c r="F54" s="1691"/>
      <c r="G54" s="1691"/>
      <c r="H54" s="1691"/>
      <c r="I54" s="1691"/>
      <c r="J54" s="1692"/>
      <c r="K54" s="1690"/>
      <c r="L54" s="1691"/>
      <c r="M54" s="1691"/>
      <c r="N54" s="1691"/>
      <c r="O54" s="1691"/>
      <c r="P54" s="1691"/>
      <c r="Q54" s="1692"/>
    </row>
    <row r="55" spans="1:22" ht="18" customHeight="1" x14ac:dyDescent="0.2">
      <c r="E55" s="1690" t="s">
        <v>3327</v>
      </c>
      <c r="F55" s="1691"/>
      <c r="G55" s="1691"/>
      <c r="H55" s="1691"/>
      <c r="I55" s="1691"/>
      <c r="J55" s="1692"/>
      <c r="K55" s="1690"/>
      <c r="L55" s="1691"/>
      <c r="M55" s="1691"/>
      <c r="N55" s="1691"/>
      <c r="O55" s="1691"/>
      <c r="P55" s="1691"/>
      <c r="Q55" s="1692"/>
    </row>
    <row r="56" spans="1:22" ht="18" customHeight="1" x14ac:dyDescent="0.2">
      <c r="E56" s="1690"/>
      <c r="F56" s="1691"/>
      <c r="G56" s="1691"/>
      <c r="H56" s="1691"/>
      <c r="I56" s="1691"/>
      <c r="J56" s="1692"/>
      <c r="K56" s="1690"/>
      <c r="L56" s="1691"/>
      <c r="M56" s="1691"/>
      <c r="N56" s="1691"/>
      <c r="O56" s="1691"/>
      <c r="P56" s="1691"/>
      <c r="Q56" s="1692"/>
    </row>
    <row r="57" spans="1:22" ht="18" customHeight="1" x14ac:dyDescent="0.2">
      <c r="E57" s="1690"/>
      <c r="F57" s="1691"/>
      <c r="G57" s="1691"/>
      <c r="H57" s="1691"/>
      <c r="I57" s="1691"/>
      <c r="J57" s="1692"/>
      <c r="K57" s="1690"/>
      <c r="L57" s="1691"/>
      <c r="M57" s="1691"/>
      <c r="N57" s="1691"/>
      <c r="O57" s="1691"/>
      <c r="P57" s="1691"/>
      <c r="Q57" s="1692"/>
    </row>
    <row r="58" spans="1:22" ht="18" customHeight="1" x14ac:dyDescent="0.2">
      <c r="E58" s="1711"/>
      <c r="F58" s="1712"/>
      <c r="G58" s="1712"/>
      <c r="H58" s="1712"/>
      <c r="I58" s="1712"/>
      <c r="J58" s="1713"/>
      <c r="K58" s="1711"/>
      <c r="L58" s="1712"/>
      <c r="M58" s="1712"/>
      <c r="N58" s="1712"/>
      <c r="O58" s="1712"/>
      <c r="P58" s="1712"/>
      <c r="Q58" s="1713"/>
    </row>
    <row r="59" spans="1:22" ht="6" customHeight="1" x14ac:dyDescent="0.2">
      <c r="E59" s="154"/>
      <c r="F59" s="154"/>
      <c r="G59" s="154"/>
      <c r="H59" s="154"/>
      <c r="I59" s="154"/>
      <c r="J59" s="154"/>
      <c r="K59" s="154"/>
      <c r="L59" s="154"/>
      <c r="M59" s="154"/>
      <c r="N59" s="154"/>
      <c r="O59" s="154"/>
      <c r="P59" s="154"/>
      <c r="Q59" s="154"/>
    </row>
    <row r="60" spans="1:22" ht="12.75" x14ac:dyDescent="0.2">
      <c r="B60" s="193"/>
      <c r="C60" s="194"/>
      <c r="D60" s="194" t="s">
        <v>518</v>
      </c>
      <c r="E60" s="1709" t="s">
        <v>315</v>
      </c>
      <c r="F60" s="1710"/>
      <c r="G60" s="1710"/>
      <c r="H60" s="1710"/>
      <c r="I60" s="1710"/>
      <c r="J60" s="1710"/>
      <c r="K60" s="1710"/>
      <c r="L60" s="1710"/>
      <c r="M60" s="1710"/>
      <c r="N60" s="1710"/>
      <c r="O60" s="1710"/>
      <c r="P60" s="1710"/>
      <c r="Q60" s="1710"/>
    </row>
    <row r="61" spans="1:22" ht="12.75" x14ac:dyDescent="0.2">
      <c r="B61" s="193"/>
      <c r="C61" s="194"/>
      <c r="D61" s="194" t="s">
        <v>637</v>
      </c>
      <c r="E61" s="203" t="s">
        <v>638</v>
      </c>
      <c r="G61" s="195"/>
      <c r="H61" s="195"/>
      <c r="I61" s="195"/>
      <c r="J61" s="195"/>
      <c r="K61" s="195"/>
      <c r="L61" s="195"/>
      <c r="M61" s="195"/>
      <c r="N61" s="195"/>
      <c r="O61" s="195"/>
      <c r="P61" s="195"/>
      <c r="Q61" s="195"/>
      <c r="R61" s="195"/>
      <c r="S61" s="195"/>
      <c r="T61" s="195"/>
      <c r="U61" s="195"/>
      <c r="V61" s="195"/>
    </row>
    <row r="62" spans="1:22" ht="6" customHeight="1" x14ac:dyDescent="0.2"/>
    <row r="63" spans="1:22" ht="12" x14ac:dyDescent="0.2">
      <c r="B63" s="154"/>
      <c r="C63" s="196"/>
      <c r="D63" s="196" t="s">
        <v>145</v>
      </c>
      <c r="E63" s="197" t="s">
        <v>144</v>
      </c>
      <c r="F63" s="1554"/>
      <c r="G63" s="1554"/>
      <c r="H63" s="197"/>
      <c r="I63" s="197"/>
      <c r="J63" s="197"/>
      <c r="K63" s="197"/>
      <c r="L63" s="197"/>
      <c r="M63" s="197"/>
      <c r="N63" s="197"/>
      <c r="O63" s="197"/>
      <c r="P63" s="197"/>
      <c r="Q63" s="197"/>
    </row>
    <row r="64" spans="1:22" ht="12" x14ac:dyDescent="0.2">
      <c r="A64" s="198"/>
      <c r="C64" s="1554"/>
      <c r="D64" s="1554"/>
      <c r="E64" s="197" t="s">
        <v>147</v>
      </c>
      <c r="F64" s="1554"/>
      <c r="G64" s="197"/>
      <c r="H64" s="197"/>
      <c r="I64" s="197"/>
      <c r="J64" s="197"/>
      <c r="K64" s="197"/>
      <c r="L64" s="197"/>
      <c r="M64" s="197"/>
      <c r="N64" s="197"/>
      <c r="O64" s="197"/>
      <c r="P64" s="197"/>
      <c r="Q64" s="197"/>
    </row>
    <row r="65" spans="1:19" ht="12" x14ac:dyDescent="0.2">
      <c r="C65" s="199"/>
      <c r="D65" s="199" t="s">
        <v>146</v>
      </c>
      <c r="E65" s="1554" t="s">
        <v>597</v>
      </c>
      <c r="F65" s="1554"/>
      <c r="G65" s="1554"/>
      <c r="H65" s="1554"/>
      <c r="I65" s="1554"/>
      <c r="J65" s="1554"/>
      <c r="K65" s="1554"/>
      <c r="L65" s="1554"/>
      <c r="M65" s="1554"/>
      <c r="N65" s="1554"/>
      <c r="O65" s="1554"/>
      <c r="P65" s="1554"/>
      <c r="Q65" s="1554"/>
    </row>
    <row r="66" spans="1:19" ht="12" x14ac:dyDescent="0.2">
      <c r="C66" s="1554"/>
      <c r="D66" s="1554"/>
      <c r="E66" s="1554" t="s">
        <v>748</v>
      </c>
      <c r="F66" s="1554"/>
      <c r="G66" s="1554"/>
      <c r="H66" s="1554"/>
      <c r="I66" s="1554"/>
      <c r="J66" s="1554"/>
      <c r="M66" s="611" t="s">
        <v>649</v>
      </c>
      <c r="N66" s="611"/>
      <c r="O66" s="611"/>
      <c r="P66" s="611"/>
      <c r="Q66" s="611"/>
      <c r="R66" s="611"/>
    </row>
    <row r="67" spans="1:19" ht="12" x14ac:dyDescent="0.2">
      <c r="A67" s="154"/>
      <c r="B67" s="200"/>
      <c r="C67" s="201"/>
      <c r="D67" s="201"/>
      <c r="E67" s="612" t="s">
        <v>808</v>
      </c>
      <c r="F67" s="1554"/>
      <c r="G67" s="201"/>
      <c r="H67" s="201"/>
      <c r="I67" s="201"/>
      <c r="J67" s="201"/>
      <c r="K67" s="201"/>
      <c r="L67" s="201"/>
      <c r="M67" s="201"/>
      <c r="N67" s="201"/>
      <c r="O67" s="201"/>
      <c r="P67" s="201"/>
      <c r="Q67" s="201"/>
      <c r="R67" s="154"/>
      <c r="S67" s="154"/>
    </row>
    <row r="68" spans="1:19" ht="4.5" customHeight="1" thickBot="1" x14ac:dyDescent="0.25">
      <c r="A68" s="202"/>
      <c r="B68" s="202"/>
      <c r="C68" s="202"/>
      <c r="D68" s="202"/>
      <c r="E68" s="202"/>
      <c r="F68" s="202"/>
      <c r="G68" s="202"/>
      <c r="H68" s="202"/>
      <c r="I68" s="202"/>
      <c r="J68" s="202"/>
      <c r="K68" s="202"/>
      <c r="L68" s="202"/>
      <c r="M68" s="202"/>
      <c r="N68" s="202"/>
      <c r="O68" s="202"/>
      <c r="P68" s="202"/>
      <c r="Q68" s="202"/>
      <c r="R68" s="202"/>
      <c r="S68" s="202"/>
    </row>
    <row r="69" spans="1:19" ht="4.5" customHeight="1" thickTop="1" x14ac:dyDescent="0.2"/>
    <row r="70" spans="1:19" ht="12" x14ac:dyDescent="0.2">
      <c r="C70" s="1554" t="s">
        <v>3049</v>
      </c>
      <c r="D70" s="1554"/>
      <c r="E70" s="700" t="s">
        <v>3075</v>
      </c>
      <c r="F70" s="675"/>
      <c r="G70" s="676"/>
    </row>
    <row r="71" spans="1:19" ht="12" x14ac:dyDescent="0.2">
      <c r="C71" s="1708" t="str">
        <f>H13</f>
        <v>Evanston Twp HSD 202</v>
      </c>
      <c r="D71" s="1708"/>
      <c r="E71" s="1708"/>
      <c r="F71" s="1708"/>
      <c r="G71" s="1708"/>
    </row>
    <row r="72" spans="1:19" ht="12" x14ac:dyDescent="0.2">
      <c r="C72" s="1707">
        <f>H14</f>
        <v>5016202017</v>
      </c>
      <c r="D72" s="1707"/>
    </row>
  </sheetData>
  <sheetProtection algorithmName="SHA-512" hashValue="JRuVAnVf+vFKUEbwbYxLOyoqhqCbuMBGXStRBuXachU7G5+UU8dnlCiYcpTjUUn4t3ZiS7vsA5fFNGPRdk1SOA==" saltValue="N/fmT1fB1JCsroe86XSCGQ==" spinCount="100000" sheet="1" objects="1" scenarios="1"/>
  <mergeCells count="50">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B6:G6"/>
    <mergeCell ref="H11:J11"/>
  </mergeCells>
  <phoneticPr fontId="0" type="noConversion"/>
  <conditionalFormatting sqref="H14:M14">
    <cfRule type="cellIs" dxfId="17" priority="10" operator="equal">
      <formula>"Select dist name from drop-down on line above"</formula>
    </cfRule>
  </conditionalFormatting>
  <conditionalFormatting sqref="B6">
    <cfRule type="cellIs" dxfId="16" priority="9" operator="equal">
      <formula>"Click here to choose accounting basis"</formula>
    </cfRule>
  </conditionalFormatting>
  <conditionalFormatting sqref="B2:B3">
    <cfRule type="cellIs" dxfId="15" priority="4" operator="equal">
      <formula>"X"</formula>
    </cfRule>
  </conditionalFormatting>
  <conditionalFormatting sqref="H13">
    <cfRule type="cellIs" dxfId="14" priority="3" operator="equal">
      <formula>" Click here to choose your district from drop-down list"</formula>
    </cfRule>
  </conditionalFormatting>
  <conditionalFormatting sqref="N24">
    <cfRule type="cellIs" dxfId="13" priority="2" operator="equal">
      <formula>0</formula>
    </cfRule>
  </conditionalFormatting>
  <conditionalFormatting sqref="E24 H27">
    <cfRule type="cellIs" dxfId="12" priority="1" operator="equal">
      <formula>0</formula>
    </cfRule>
  </conditionalFormatting>
  <dataValidations count="2">
    <dataValidation type="list" allowBlank="1" sqref="B6" xr:uid="{2727D3C5-37C7-41DA-8ED2-36B082C58B60}">
      <formula1>"Click here to choose accounting basis,Cash,Accrual"</formula1>
    </dataValidation>
    <dataValidation type="list" errorStyle="information" allowBlank="1" showInputMessage="1" error="Your district RCDT will not be auto-filled from the ISBE database. Please type part of district name and then click the dropdown menu button to select district." prompt="Click dropdown button and select district from full list. Alternatively, you can narrow the list: type part (not all) of the name, hit enter, and then select from the dropdown." sqref="H13:M13" xr:uid="{A985518A-35B3-4B4E-AED2-B19549E12D92}">
      <formula1>IF(OR(AND($Y$13=0,OR(H13="",H13=" Click here to choose your district from drop-down list")),N24&lt;&gt;""),School_District,validation_list)</formula1>
    </dataValidation>
  </dataValidations>
  <hyperlinks>
    <hyperlink ref="M66:R66" r:id="rId1" display="https://sec1.isbe.net/attachmgr/default.aspx " xr:uid="{00000000-0004-0000-0000-000000000000}"/>
  </hyperlinks>
  <pageMargins left="0.22" right="0.18" top="0.28000000000000003" bottom="0.23" header="0" footer="0.25"/>
  <pageSetup scale="92" orientation="portrait" useFirstPageNumber="1" r:id="rId2"/>
  <headerFooter alignWithMargins="0">
    <oddFooter>Page &amp;P&amp;R&amp;F</oddFooter>
  </headerFooter>
  <ignoredErrors>
    <ignoredError sqref="E37 J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55C0-24E0-4013-9375-043494D6A914}">
  <sheetPr codeName="Sheet13">
    <pageSetUpPr autoPageBreaks="0"/>
  </sheetPr>
  <dimension ref="A1:J996"/>
  <sheetViews>
    <sheetView zoomScaleNormal="100" workbookViewId="0">
      <selection activeCell="F9" sqref="F9"/>
    </sheetView>
  </sheetViews>
  <sheetFormatPr defaultColWidth="2.7109375" defaultRowHeight="12.75" x14ac:dyDescent="0.2"/>
  <cols>
    <col min="1" max="1" width="11" customWidth="1"/>
    <col min="2" max="2" width="47" bestFit="1" customWidth="1"/>
    <col min="3" max="3" width="14.5703125" style="664" bestFit="1" customWidth="1"/>
    <col min="4" max="4" width="14.5703125" style="664" customWidth="1"/>
    <col min="5" max="5" width="10.5703125" customWidth="1"/>
    <col min="6" max="6" width="34.140625" bestFit="1" customWidth="1"/>
    <col min="7" max="7" width="15" style="661" bestFit="1" customWidth="1"/>
    <col min="8" max="8" width="15" style="661" customWidth="1"/>
    <col min="9" max="9" width="29.140625" customWidth="1"/>
    <col min="10" max="10" width="43.85546875" bestFit="1" customWidth="1"/>
    <col min="11" max="11" width="11.42578125" customWidth="1"/>
    <col min="12" max="12" width="9.7109375" customWidth="1"/>
    <col min="13" max="13" width="12.5703125" customWidth="1"/>
    <col min="14" max="14" width="13.140625" customWidth="1"/>
    <col min="15" max="15" width="11.7109375" customWidth="1"/>
    <col min="16" max="16" width="11.140625" customWidth="1"/>
    <col min="17" max="18" width="11.42578125" customWidth="1"/>
    <col min="19" max="19" width="10.7109375" customWidth="1"/>
    <col min="20" max="20" width="10.140625" customWidth="1"/>
    <col min="21" max="22" width="13" customWidth="1"/>
    <col min="23" max="23" width="11.140625" customWidth="1"/>
    <col min="24" max="26" width="13.5703125" customWidth="1"/>
    <col min="27" max="27" width="19.28515625" customWidth="1"/>
    <col min="28" max="28" width="18.140625" customWidth="1"/>
    <col min="29" max="29" width="44.28515625" customWidth="1"/>
    <col min="30" max="30" width="19.42578125" customWidth="1"/>
    <col min="31" max="31" width="49.5703125" customWidth="1"/>
  </cols>
  <sheetData>
    <row r="1" spans="1:10" ht="39" x14ac:dyDescent="0.25">
      <c r="A1" s="654" t="s">
        <v>1740</v>
      </c>
      <c r="B1" s="655" t="s">
        <v>774</v>
      </c>
      <c r="C1" s="655" t="s">
        <v>1633</v>
      </c>
      <c r="D1" s="671" t="s">
        <v>3035</v>
      </c>
      <c r="E1" s="656" t="s">
        <v>1760</v>
      </c>
      <c r="F1" s="654" t="s">
        <v>1759</v>
      </c>
      <c r="G1" s="662" t="s">
        <v>2029</v>
      </c>
      <c r="H1" s="662"/>
      <c r="I1" s="654" t="s">
        <v>1739</v>
      </c>
      <c r="J1" s="654" t="s">
        <v>1738</v>
      </c>
    </row>
    <row r="2" spans="1:10" ht="15" x14ac:dyDescent="0.25">
      <c r="A2">
        <f>IF(ISNUMBER(SEARCH(Cover!$H$13,Table1[[#This Row],[School District]])),MAX($A$1:A1)+1,0)</f>
        <v>0</v>
      </c>
      <c r="B2" s="1661" t="s">
        <v>3289</v>
      </c>
      <c r="C2" s="1662" t="s">
        <v>3291</v>
      </c>
      <c r="D2" s="1663"/>
      <c r="E2" s="1664"/>
      <c r="F2" s="1661"/>
      <c r="H2" s="663"/>
      <c r="I2" t="str" cm="1">
        <f t="array" aca="1" ref="I2" ca="1">OFFSET($J$2,,,COUNTIF($J$2:$J$996,"?*"))</f>
        <v>Evanston Twp HSD 202</v>
      </c>
      <c r="J2" s="653" t="str">
        <f>IFERROR(VLOOKUP(ROWS($J$2:J2),$A$2:$B$996,2,FALSE),"")</f>
        <v>Evanston Twp HSD 202</v>
      </c>
    </row>
    <row r="3" spans="1:10" x14ac:dyDescent="0.2">
      <c r="A3">
        <f>IF(ISNUMBER(SEARCH(Cover!$H$13,Table1[[#This Row],[School District]])),MAX($A$1:A2)+1,0)</f>
        <v>0</v>
      </c>
      <c r="B3" s="661" t="s">
        <v>1191</v>
      </c>
      <c r="C3" s="1599">
        <v>33048276026</v>
      </c>
      <c r="D3" s="1656">
        <v>26</v>
      </c>
      <c r="E3" t="str">
        <f>IF(OR(Table1[[#This Row],[Type]]=0,Table1[[#This Row],[Type]]&gt;=40),"JA","SD")</f>
        <v>SD</v>
      </c>
      <c r="F3" t="s">
        <v>1761</v>
      </c>
      <c r="G3" s="663" t="s">
        <v>2030</v>
      </c>
      <c r="J3" s="653" t="str">
        <f>IFERROR(VLOOKUP(ROWS($J$2:J3),$A$2:$B$996,2,FALSE),"")</f>
        <v/>
      </c>
    </row>
    <row r="4" spans="1:10" x14ac:dyDescent="0.2">
      <c r="A4">
        <f>IF(ISNUMBER(SEARCH(Cover!$H$13,Table1[[#This Row],[School District]])),MAX($A$1:A3)+1,0)</f>
        <v>0</v>
      </c>
      <c r="B4" s="661" t="s">
        <v>1762</v>
      </c>
      <c r="C4" s="1599">
        <v>1009262026</v>
      </c>
      <c r="D4" s="664">
        <v>26</v>
      </c>
      <c r="E4" t="str">
        <f>IF(OR(Table1[[#This Row],[Type]]=0,Table1[[#This Row],[Type]]&gt;=40),"JA","SD")</f>
        <v>SD</v>
      </c>
      <c r="F4" t="s">
        <v>3294</v>
      </c>
      <c r="G4" s="661" t="s">
        <v>2031</v>
      </c>
      <c r="J4" s="653" t="str">
        <f>IFERROR(VLOOKUP(ROWS($J$2:J4),$A$2:$B$996,2,FALSE),"")</f>
        <v/>
      </c>
    </row>
    <row r="5" spans="1:10" ht="15" customHeight="1" x14ac:dyDescent="0.2">
      <c r="A5">
        <f>IF(ISNUMBER(SEARCH(Cover!$H$13,Table1[[#This Row],[School District]])),MAX($A$1:A4)+1,0)</f>
        <v>0</v>
      </c>
      <c r="B5" s="661" t="s">
        <v>1347</v>
      </c>
      <c r="C5" s="1599">
        <v>19022004002</v>
      </c>
      <c r="D5" s="664">
        <v>2</v>
      </c>
      <c r="E5" t="str">
        <f>IF(OR(Table1[[#This Row],[Type]]=0,Table1[[#This Row],[Type]]&gt;=40),"JA","SD")</f>
        <v>SD</v>
      </c>
      <c r="F5" t="s">
        <v>3143</v>
      </c>
      <c r="G5" s="661" t="s">
        <v>2032</v>
      </c>
      <c r="J5" s="653" t="str">
        <f>IFERROR(VLOOKUP(ROWS($J$2:J5),$A$2:$B$996,2,FALSE),"")</f>
        <v/>
      </c>
    </row>
    <row r="6" spans="1:10" x14ac:dyDescent="0.2">
      <c r="A6">
        <f>IF(ISNUMBER(SEARCH(Cover!$H$13,Table1[[#This Row],[School District]])),MAX($A$1:A5)+1,0)</f>
        <v>0</v>
      </c>
      <c r="B6" s="661" t="s">
        <v>1153</v>
      </c>
      <c r="C6" s="1599">
        <v>34049125013</v>
      </c>
      <c r="D6" s="664">
        <v>13</v>
      </c>
      <c r="E6" t="str">
        <f>IF(OR(Table1[[#This Row],[Type]]=0,Table1[[#This Row],[Type]]&gt;=40),"JA","SD")</f>
        <v>SD</v>
      </c>
      <c r="F6" t="s">
        <v>1765</v>
      </c>
      <c r="G6" s="661" t="s">
        <v>2033</v>
      </c>
      <c r="J6" s="653" t="str">
        <f>IFERROR(VLOOKUP(ROWS($J$2:J6),$A$2:$B$996,2,FALSE),"")</f>
        <v/>
      </c>
    </row>
    <row r="7" spans="1:10" x14ac:dyDescent="0.2">
      <c r="A7">
        <f>IF(ISNUMBER(SEARCH(Cover!$H$13,Table1[[#This Row],[School District]])),MAX($A$1:A6)+1,0)</f>
        <v>0</v>
      </c>
      <c r="B7" t="s">
        <v>1654</v>
      </c>
      <c r="C7" s="1599">
        <v>7016806060</v>
      </c>
      <c r="D7" s="664">
        <v>60</v>
      </c>
      <c r="E7" t="str">
        <f>IF(OR(Table1[[#This Row],[Type]]=0,Table1[[#This Row],[Type]]&gt;=40),"JA","SD")</f>
        <v>JA</v>
      </c>
      <c r="F7" t="s">
        <v>1766</v>
      </c>
      <c r="G7" s="661" t="s">
        <v>2034</v>
      </c>
      <c r="J7" s="653" t="str">
        <f>IFERROR(VLOOKUP(ROWS($J$2:J7),$A$2:$B$996,2,FALSE),"")</f>
        <v/>
      </c>
    </row>
    <row r="8" spans="1:10" x14ac:dyDescent="0.2">
      <c r="A8">
        <f>IF(ISNUMBER(SEARCH(Cover!$H$13,Table1[[#This Row],[School District]])),MAX($A$1:A7)+1,0)</f>
        <v>0</v>
      </c>
      <c r="B8" s="661" t="s">
        <v>1298</v>
      </c>
      <c r="C8" s="1599">
        <v>21028091004</v>
      </c>
      <c r="D8" s="664">
        <v>4</v>
      </c>
      <c r="E8" t="str">
        <f>IF(OR(Table1[[#This Row],[Type]]=0,Table1[[#This Row],[Type]]&gt;=40),"JA","SD")</f>
        <v>SD</v>
      </c>
      <c r="F8" t="s">
        <v>1767</v>
      </c>
      <c r="G8" s="661" t="s">
        <v>2035</v>
      </c>
      <c r="J8" s="653" t="str">
        <f>IFERROR(VLOOKUP(ROWS($J$2:J8),$A$2:$B$996,2,FALSE),"")</f>
        <v/>
      </c>
    </row>
    <row r="9" spans="1:10" x14ac:dyDescent="0.2">
      <c r="A9">
        <f>IF(ISNUMBER(SEARCH(Cover!$H$13,Table1[[#This Row],[School District]])),MAX($A$1:A8)+1,0)</f>
        <v>0</v>
      </c>
      <c r="B9" s="661" t="s">
        <v>1408</v>
      </c>
      <c r="C9" s="1599">
        <v>13014063002</v>
      </c>
      <c r="D9" s="664">
        <v>2</v>
      </c>
      <c r="E9" t="str">
        <f>IF(OR(Table1[[#This Row],[Type]]=0,Table1[[#This Row],[Type]]&gt;=40),"JA","SD")</f>
        <v>SD</v>
      </c>
      <c r="F9" t="s">
        <v>1768</v>
      </c>
      <c r="G9" s="661" t="s">
        <v>2036</v>
      </c>
      <c r="J9" s="653" t="str">
        <f>IFERROR(VLOOKUP(ROWS($J$2:J9),$A$2:$B$996,2,FALSE),"")</f>
        <v/>
      </c>
    </row>
    <row r="10" spans="1:10" x14ac:dyDescent="0.2">
      <c r="A10">
        <f>IF(ISNUMBER(SEARCH(Cover!$H$13,Table1[[#This Row],[School District]])),MAX($A$1:A9)+1,0)</f>
        <v>0</v>
      </c>
      <c r="B10" s="661" t="s">
        <v>1088</v>
      </c>
      <c r="C10" s="1599">
        <v>44063019024</v>
      </c>
      <c r="D10" s="664">
        <v>24</v>
      </c>
      <c r="E10" t="str">
        <f>IF(OR(Table1[[#This Row],[Type]]=0,Table1[[#This Row],[Type]]&gt;=40),"JA","SD")</f>
        <v>SD</v>
      </c>
      <c r="F10" t="s">
        <v>1769</v>
      </c>
      <c r="G10" s="661" t="s">
        <v>2037</v>
      </c>
      <c r="J10" s="653" t="str">
        <f>IFERROR(VLOOKUP(ROWS($J$2:J10),$A$2:$B$996,2,FALSE),"")</f>
        <v/>
      </c>
    </row>
    <row r="11" spans="1:10" x14ac:dyDescent="0.2">
      <c r="A11">
        <f>IF(ISNUMBER(SEARCH(Cover!$H$13,Table1[[#This Row],[School District]])),MAX($A$1:A10)+1,0)</f>
        <v>0</v>
      </c>
      <c r="B11" s="661" t="s">
        <v>1309</v>
      </c>
      <c r="C11" s="1599">
        <v>20093017024</v>
      </c>
      <c r="D11" s="664">
        <v>24</v>
      </c>
      <c r="E11" t="str">
        <f>IF(OR(Table1[[#This Row],[Type]]=0,Table1[[#This Row],[Type]]&gt;=40),"JA","SD")</f>
        <v>SD</v>
      </c>
      <c r="F11" t="s">
        <v>1770</v>
      </c>
      <c r="G11" s="661" t="s">
        <v>2038</v>
      </c>
      <c r="J11" s="653" t="str">
        <f>IFERROR(VLOOKUP(ROWS($J$2:J11),$A$2:$B$996,2,FALSE),"")</f>
        <v/>
      </c>
    </row>
    <row r="12" spans="1:10" x14ac:dyDescent="0.2">
      <c r="A12">
        <f>IF(ISNUMBER(SEARCH(Cover!$H$13,Table1[[#This Row],[School District]])),MAX($A$1:A11)+1,0)</f>
        <v>0</v>
      </c>
      <c r="B12" s="661" t="s">
        <v>1142</v>
      </c>
      <c r="C12" s="1599">
        <v>35050065004</v>
      </c>
      <c r="D12" s="664">
        <v>4</v>
      </c>
      <c r="E12" t="str">
        <f>IF(OR(Table1[[#This Row],[Type]]=0,Table1[[#This Row],[Type]]&gt;=40),"JA","SD")</f>
        <v>SD</v>
      </c>
      <c r="F12" t="s">
        <v>3135</v>
      </c>
      <c r="G12" s="661" t="s">
        <v>2039</v>
      </c>
      <c r="J12" s="653" t="str">
        <f>IFERROR(VLOOKUP(ROWS($J$2:J12),$A$2:$B$996,2,FALSE),"")</f>
        <v/>
      </c>
    </row>
    <row r="13" spans="1:10" x14ac:dyDescent="0.2">
      <c r="A13">
        <f>IF(ISNUMBER(SEARCH(Cover!$H$13,Table1[[#This Row],[School District]])),MAX($A$1:A12)+1,0)</f>
        <v>0</v>
      </c>
      <c r="B13" s="661" t="s">
        <v>1772</v>
      </c>
      <c r="C13" s="1599">
        <v>7016126002</v>
      </c>
      <c r="D13" s="664">
        <v>2</v>
      </c>
      <c r="E13" t="str">
        <f>IF(OR(Table1[[#This Row],[Type]]=0,Table1[[#This Row],[Type]]&gt;=40),"JA","SD")</f>
        <v>SD</v>
      </c>
      <c r="F13" t="s">
        <v>1766</v>
      </c>
      <c r="G13" s="661" t="s">
        <v>2040</v>
      </c>
      <c r="J13" s="653" t="str">
        <f>IFERROR(VLOOKUP(ROWS($J$2:J13),$A$2:$B$996,2,FALSE),"")</f>
        <v/>
      </c>
    </row>
    <row r="14" spans="1:10" x14ac:dyDescent="0.2">
      <c r="A14">
        <f>IF(ISNUMBER(SEARCH(Cover!$H$13,Table1[[#This Row],[School District]])),MAX($A$1:A13)+1,0)</f>
        <v>0</v>
      </c>
      <c r="B14" s="661" t="s">
        <v>1610</v>
      </c>
      <c r="C14" s="1599">
        <v>3025010026</v>
      </c>
      <c r="D14" s="664">
        <v>26</v>
      </c>
      <c r="E14" t="str">
        <f>IF(OR(Table1[[#This Row],[Type]]=0,Table1[[#This Row],[Type]]&gt;=40),"JA","SD")</f>
        <v>SD</v>
      </c>
      <c r="F14" t="s">
        <v>3136</v>
      </c>
      <c r="G14" s="661" t="s">
        <v>2041</v>
      </c>
      <c r="J14" s="653" t="str">
        <f>IFERROR(VLOOKUP(ROWS($J$2:J14),$A$2:$B$996,2,FALSE),"")</f>
        <v/>
      </c>
    </row>
    <row r="15" spans="1:10" x14ac:dyDescent="0.2">
      <c r="A15">
        <f>IF(ISNUMBER(SEARCH(Cover!$H$13,Table1[[#This Row],[School District]])),MAX($A$1:A14)+1,0)</f>
        <v>0</v>
      </c>
      <c r="B15" s="661" t="s">
        <v>1096</v>
      </c>
      <c r="C15" s="1599">
        <v>41057011026</v>
      </c>
      <c r="D15" s="664">
        <v>26</v>
      </c>
      <c r="E15" t="str">
        <f>IF(OR(Table1[[#This Row],[Type]]=0,Table1[[#This Row],[Type]]&gt;=40),"JA","SD")</f>
        <v>SD</v>
      </c>
      <c r="F15" t="s">
        <v>3137</v>
      </c>
      <c r="G15" s="661" t="s">
        <v>2042</v>
      </c>
      <c r="J15" s="653" t="str">
        <f>IFERROR(VLOOKUP(ROWS($J$2:J15),$A$2:$B$996,2,FALSE),"")</f>
        <v/>
      </c>
    </row>
    <row r="16" spans="1:10" x14ac:dyDescent="0.2">
      <c r="A16">
        <f>IF(ISNUMBER(SEARCH(Cover!$H$13,Table1[[#This Row],[School District]])),MAX($A$1:A15)+1,0)</f>
        <v>0</v>
      </c>
      <c r="B16" s="661" t="s">
        <v>1775</v>
      </c>
      <c r="C16" s="1599">
        <v>28037225026</v>
      </c>
      <c r="D16" s="664">
        <v>26</v>
      </c>
      <c r="E16" t="str">
        <f>IF(OR(Table1[[#This Row],[Type]]=0,Table1[[#This Row],[Type]]&gt;=40),"JA","SD")</f>
        <v>SD</v>
      </c>
      <c r="F16" t="s">
        <v>1776</v>
      </c>
      <c r="G16" s="661" t="s">
        <v>2043</v>
      </c>
      <c r="J16" s="653" t="str">
        <f>IFERROR(VLOOKUP(ROWS($J$2:J16),$A$2:$B$996,2,FALSE),"")</f>
        <v/>
      </c>
    </row>
    <row r="17" spans="1:10" x14ac:dyDescent="0.2">
      <c r="A17">
        <f>IF(ISNUMBER(SEARCH(Cover!$H$13,Table1[[#This Row],[School District]])),MAX($A$1:A16)+1,0)</f>
        <v>0</v>
      </c>
      <c r="B17" s="661" t="s">
        <v>1067</v>
      </c>
      <c r="C17" s="1599">
        <v>47052272026</v>
      </c>
      <c r="D17" s="664">
        <v>26</v>
      </c>
      <c r="E17" t="str">
        <f>IF(OR(Table1[[#This Row],[Type]]=0,Table1[[#This Row],[Type]]&gt;=40),"JA","SD")</f>
        <v>SD</v>
      </c>
      <c r="F17" t="s">
        <v>1777</v>
      </c>
      <c r="G17" s="661" t="s">
        <v>2044</v>
      </c>
      <c r="J17" s="653" t="str">
        <f>IFERROR(VLOOKUP(ROWS($J$2:J17),$A$2:$B$996,2,FALSE),"")</f>
        <v/>
      </c>
    </row>
    <row r="18" spans="1:10" x14ac:dyDescent="0.2">
      <c r="A18">
        <f>IF(ISNUMBER(SEARCH(Cover!$H$13,Table1[[#This Row],[School District]])),MAX($A$1:A17)+1,0)</f>
        <v>0</v>
      </c>
      <c r="B18" s="661" t="s">
        <v>1223</v>
      </c>
      <c r="C18" s="1599">
        <v>30091037004</v>
      </c>
      <c r="D18" s="664">
        <v>4</v>
      </c>
      <c r="E18" t="str">
        <f>IF(OR(Table1[[#This Row],[Type]]=0,Table1[[#This Row],[Type]]&gt;=40),"JA","SD")</f>
        <v>SD</v>
      </c>
      <c r="F18" t="s">
        <v>1778</v>
      </c>
      <c r="G18" s="661" t="s">
        <v>2045</v>
      </c>
      <c r="J18" s="653" t="str">
        <f>IFERROR(VLOOKUP(ROWS($J$2:J18),$A$2:$B$996,2,FALSE),"")</f>
        <v/>
      </c>
    </row>
    <row r="19" spans="1:10" x14ac:dyDescent="0.2">
      <c r="A19">
        <f>IF(ISNUMBER(SEARCH(Cover!$H$13,Table1[[#This Row],[School District]])),MAX($A$1:A18)+1,0)</f>
        <v>0</v>
      </c>
      <c r="B19" s="661" t="s">
        <v>1779</v>
      </c>
      <c r="C19" s="1599">
        <v>30091081016</v>
      </c>
      <c r="D19" s="664">
        <v>16</v>
      </c>
      <c r="E19" t="str">
        <f>IF(OR(Table1[[#This Row],[Type]]=0,Table1[[#This Row],[Type]]&gt;=40),"JA","SD")</f>
        <v>SD</v>
      </c>
      <c r="F19" t="s">
        <v>1778</v>
      </c>
      <c r="G19" s="661" t="s">
        <v>2046</v>
      </c>
      <c r="J19" s="653" t="str">
        <f>IFERROR(VLOOKUP(ROWS($J$2:J19),$A$2:$B$996,2,FALSE),"")</f>
        <v/>
      </c>
    </row>
    <row r="20" spans="1:10" x14ac:dyDescent="0.2">
      <c r="A20">
        <f>IF(ISNUMBER(SEARCH(Cover!$H$13,Table1[[#This Row],[School District]])),MAX($A$1:A19)+1,0)</f>
        <v>0</v>
      </c>
      <c r="B20" s="661" t="s">
        <v>1242</v>
      </c>
      <c r="C20" s="1599">
        <v>28037226026</v>
      </c>
      <c r="D20" s="664">
        <v>26</v>
      </c>
      <c r="E20" t="str">
        <f>IF(OR(Table1[[#This Row],[Type]]=0,Table1[[#This Row],[Type]]&gt;=40),"JA","SD")</f>
        <v>SD</v>
      </c>
      <c r="F20" t="s">
        <v>3138</v>
      </c>
      <c r="G20" s="661" t="s">
        <v>2047</v>
      </c>
      <c r="J20" s="653" t="str">
        <f>IFERROR(VLOOKUP(ROWS($J$2:J20),$A$2:$B$996,2,FALSE),"")</f>
        <v/>
      </c>
    </row>
    <row r="21" spans="1:10" x14ac:dyDescent="0.2">
      <c r="A21">
        <f>IF(ISNUMBER(SEARCH(Cover!$H$13,Table1[[#This Row],[School District]])),MAX($A$1:A20)+1,0)</f>
        <v>0</v>
      </c>
      <c r="B21" s="661" t="s">
        <v>1184</v>
      </c>
      <c r="C21" s="1599">
        <v>34049034004</v>
      </c>
      <c r="D21" s="664">
        <v>4</v>
      </c>
      <c r="E21" t="str">
        <f>IF(OR(Table1[[#This Row],[Type]]=0,Table1[[#This Row],[Type]]&gt;=40),"JA","SD")</f>
        <v>SD</v>
      </c>
      <c r="F21" t="s">
        <v>1765</v>
      </c>
      <c r="G21" s="661" t="s">
        <v>2048</v>
      </c>
      <c r="J21" s="653" t="str">
        <f>IFERROR(VLOOKUP(ROWS($J$2:J21),$A$2:$B$996,2,FALSE),"")</f>
        <v/>
      </c>
    </row>
    <row r="22" spans="1:10" x14ac:dyDescent="0.2">
      <c r="A22">
        <f>IF(ISNUMBER(SEARCH(Cover!$H$13,Table1[[#This Row],[School District]])),MAX($A$1:A21)+1,0)</f>
        <v>0</v>
      </c>
      <c r="B22" s="661" t="s">
        <v>1165</v>
      </c>
      <c r="C22" s="1599">
        <v>34049102004</v>
      </c>
      <c r="D22" s="664">
        <v>4</v>
      </c>
      <c r="E22" t="str">
        <f>IF(OR(Table1[[#This Row],[Type]]=0,Table1[[#This Row],[Type]]&gt;=40),"JA","SD")</f>
        <v>SD</v>
      </c>
      <c r="F22" t="s">
        <v>1765</v>
      </c>
      <c r="G22" s="661" t="s">
        <v>2049</v>
      </c>
      <c r="J22" s="653" t="str">
        <f>IFERROR(VLOOKUP(ROWS($J$2:J22),$A$2:$B$996,2,FALSE),"")</f>
        <v/>
      </c>
    </row>
    <row r="23" spans="1:10" x14ac:dyDescent="0.2">
      <c r="A23">
        <f>IF(ISNUMBER(SEARCH(Cover!$H$13,Table1[[#This Row],[School District]])),MAX($A$1:A22)+1,0)</f>
        <v>0</v>
      </c>
      <c r="B23" s="661" t="s">
        <v>1500</v>
      </c>
      <c r="C23" s="1599">
        <v>7016145002</v>
      </c>
      <c r="D23" s="664">
        <v>2</v>
      </c>
      <c r="E23" t="str">
        <f>IF(OR(Table1[[#This Row],[Type]]=0,Table1[[#This Row],[Type]]&gt;=40),"JA","SD")</f>
        <v>SD</v>
      </c>
      <c r="F23" t="s">
        <v>1766</v>
      </c>
      <c r="G23" s="661" t="s">
        <v>2050</v>
      </c>
      <c r="J23" s="653" t="str">
        <f>IFERROR(VLOOKUP(ROWS($J$2:J23),$A$2:$B$996,2,FALSE),"")</f>
        <v/>
      </c>
    </row>
    <row r="24" spans="1:10" x14ac:dyDescent="0.2">
      <c r="A24">
        <f>IF(ISNUMBER(SEARCH(Cover!$H$13,Table1[[#This Row],[School District]])),MAX($A$1:A23)+1,0)</f>
        <v>0</v>
      </c>
      <c r="B24" s="661" t="s">
        <v>1431</v>
      </c>
      <c r="C24" s="1599">
        <v>11021306026</v>
      </c>
      <c r="D24" s="664">
        <v>26</v>
      </c>
      <c r="E24" t="str">
        <f>IF(OR(Table1[[#This Row],[Type]]=0,Table1[[#This Row],[Type]]&gt;=40),"JA","SD")</f>
        <v>SD</v>
      </c>
      <c r="F24" t="s">
        <v>1780</v>
      </c>
      <c r="G24" s="661" t="s">
        <v>2051</v>
      </c>
      <c r="J24" s="653" t="str">
        <f>IFERROR(VLOOKUP(ROWS($J$2:J24),$A$2:$B$996,2,FALSE),"")</f>
        <v/>
      </c>
    </row>
    <row r="25" spans="1:10" x14ac:dyDescent="0.2">
      <c r="A25">
        <f>IF(ISNUMBER(SEARCH(Cover!$H$13,Table1[[#This Row],[School District]])),MAX($A$1:A24)+1,0)</f>
        <v>0</v>
      </c>
      <c r="B25" s="661" t="s">
        <v>1781</v>
      </c>
      <c r="C25" s="1599">
        <v>39055001026</v>
      </c>
      <c r="D25" s="664">
        <v>26</v>
      </c>
      <c r="E25" t="str">
        <f>IF(OR(Table1[[#This Row],[Type]]=0,Table1[[#This Row],[Type]]&gt;=40),"JA","SD")</f>
        <v>SD</v>
      </c>
      <c r="F25" t="s">
        <v>3139</v>
      </c>
      <c r="G25" s="661" t="s">
        <v>2052</v>
      </c>
      <c r="J25" s="653" t="str">
        <f>IFERROR(VLOOKUP(ROWS($J$2:J25),$A$2:$B$996,2,FALSE),"")</f>
        <v/>
      </c>
    </row>
    <row r="26" spans="1:10" x14ac:dyDescent="0.2">
      <c r="A26">
        <f>IF(ISNUMBER(SEARCH(Cover!$H$13,Table1[[#This Row],[School District]])),MAX($A$1:A25)+1,0)</f>
        <v>0</v>
      </c>
      <c r="B26" s="661" t="s">
        <v>1469</v>
      </c>
      <c r="C26" s="1599">
        <v>7016217016</v>
      </c>
      <c r="D26" s="664">
        <v>16</v>
      </c>
      <c r="E26" t="str">
        <f>IF(OR(Table1[[#This Row],[Type]]=0,Table1[[#This Row],[Type]]&gt;=40),"JA","SD")</f>
        <v>SD</v>
      </c>
      <c r="F26" t="s">
        <v>1766</v>
      </c>
      <c r="G26" s="661" t="s">
        <v>2053</v>
      </c>
      <c r="J26" s="653" t="str">
        <f>IFERROR(VLOOKUP(ROWS($J$2:J26),$A$2:$B$996,2,FALSE),"")</f>
        <v/>
      </c>
    </row>
    <row r="27" spans="1:10" x14ac:dyDescent="0.2">
      <c r="A27">
        <f>IF(ISNUMBER(SEARCH(Cover!$H$13,Table1[[#This Row],[School District]])),MAX($A$1:A26)+1,0)</f>
        <v>0</v>
      </c>
      <c r="B27" s="661" t="s">
        <v>1584</v>
      </c>
      <c r="C27" s="1599">
        <v>5016025002</v>
      </c>
      <c r="D27" s="664">
        <v>2</v>
      </c>
      <c r="E27" t="str">
        <f>IF(OR(Table1[[#This Row],[Type]]=0,Table1[[#This Row],[Type]]&gt;=40),"JA","SD")</f>
        <v>SD</v>
      </c>
      <c r="F27" t="s">
        <v>1766</v>
      </c>
      <c r="G27" s="661" t="s">
        <v>2054</v>
      </c>
      <c r="J27" s="653" t="str">
        <f>IFERROR(VLOOKUP(ROWS($J$2:J27),$A$2:$B$996,2,FALSE),"")</f>
        <v/>
      </c>
    </row>
    <row r="28" spans="1:10" x14ac:dyDescent="0.2">
      <c r="A28">
        <f>IF(ISNUMBER(SEARCH(Cover!$H$13,Table1[[#This Row],[School District]])),MAX($A$1:A27)+1,0)</f>
        <v>0</v>
      </c>
      <c r="B28" s="661" t="s">
        <v>958</v>
      </c>
      <c r="C28" s="1599">
        <v>54092225017</v>
      </c>
      <c r="D28" s="664">
        <v>17</v>
      </c>
      <c r="E28" t="str">
        <f>IF(OR(Table1[[#This Row],[Type]]=0,Table1[[#This Row],[Type]]&gt;=40),"JA","SD")</f>
        <v>SD</v>
      </c>
      <c r="F28" t="s">
        <v>3254</v>
      </c>
      <c r="G28" s="661" t="s">
        <v>2055</v>
      </c>
      <c r="J28" s="653" t="str">
        <f>IFERROR(VLOOKUP(ROWS($J$2:J28),$A$2:$B$996,2,FALSE),"")</f>
        <v/>
      </c>
    </row>
    <row r="29" spans="1:10" x14ac:dyDescent="0.2">
      <c r="A29">
        <f>IF(ISNUMBER(SEARCH(Cover!$H$13,Table1[[#This Row],[School District]])),MAX($A$1:A28)+1,0)</f>
        <v>0</v>
      </c>
      <c r="B29" s="661" t="s">
        <v>1784</v>
      </c>
      <c r="C29" s="1599">
        <v>54092061003</v>
      </c>
      <c r="D29" s="664">
        <v>3</v>
      </c>
      <c r="E29" t="str">
        <f>IF(OR(Table1[[#This Row],[Type]]=0,Table1[[#This Row],[Type]]&gt;=40),"JA","SD")</f>
        <v>SD</v>
      </c>
      <c r="F29" t="s">
        <v>1783</v>
      </c>
      <c r="G29" s="661" t="s">
        <v>2056</v>
      </c>
      <c r="J29" s="653" t="str">
        <f>IFERROR(VLOOKUP(ROWS($J$2:J29),$A$2:$B$996,2,FALSE),"")</f>
        <v/>
      </c>
    </row>
    <row r="30" spans="1:10" x14ac:dyDescent="0.2">
      <c r="A30">
        <f>IF(ISNUMBER(SEARCH(Cover!$H$13,Table1[[#This Row],[School District]])),MAX($A$1:A29)+1,0)</f>
        <v>0</v>
      </c>
      <c r="B30" s="661" t="s">
        <v>1432</v>
      </c>
      <c r="C30" s="1599">
        <v>11021305026</v>
      </c>
      <c r="D30" s="664">
        <v>26</v>
      </c>
      <c r="E30" t="str">
        <f>IF(OR(Table1[[#This Row],[Type]]=0,Table1[[#This Row],[Type]]&gt;=40),"JA","SD")</f>
        <v>SD</v>
      </c>
      <c r="F30" t="s">
        <v>1780</v>
      </c>
      <c r="G30" s="661" t="s">
        <v>2057</v>
      </c>
      <c r="J30" s="653" t="str">
        <f>IFERROR(VLOOKUP(ROWS($J$2:J30),$A$2:$B$996,2,FALSE),"")</f>
        <v/>
      </c>
    </row>
    <row r="31" spans="1:10" x14ac:dyDescent="0.2">
      <c r="A31">
        <f>IF(ISNUMBER(SEARCH(Cover!$H$13,Table1[[#This Row],[School District]])),MAX($A$1:A30)+1,0)</f>
        <v>0</v>
      </c>
      <c r="B31" s="661" t="s">
        <v>1382</v>
      </c>
      <c r="C31" s="1599">
        <v>13095015004</v>
      </c>
      <c r="D31" s="664">
        <v>4</v>
      </c>
      <c r="E31" t="str">
        <f>IF(OR(Table1[[#This Row],[Type]]=0,Table1[[#This Row],[Type]]&gt;=40),"JA","SD")</f>
        <v>SD</v>
      </c>
      <c r="F31" t="s">
        <v>1785</v>
      </c>
      <c r="G31" s="661" t="s">
        <v>2058</v>
      </c>
      <c r="J31" s="653" t="str">
        <f>IFERROR(VLOOKUP(ROWS($J$2:J31),$A$2:$B$996,2,FALSE),"")</f>
        <v/>
      </c>
    </row>
    <row r="32" spans="1:10" x14ac:dyDescent="0.2">
      <c r="A32">
        <f>IF(ISNUMBER(SEARCH(Cover!$H$13,Table1[[#This Row],[School District]])),MAX($A$1:A31)+1,0)</f>
        <v>0</v>
      </c>
      <c r="B32" s="661" t="s">
        <v>1066</v>
      </c>
      <c r="C32" s="1599">
        <v>47052275026</v>
      </c>
      <c r="D32" s="664">
        <v>26</v>
      </c>
      <c r="E32" t="str">
        <f>IF(OR(Table1[[#This Row],[Type]]=0,Table1[[#This Row],[Type]]&gt;=40),"JA","SD")</f>
        <v>SD</v>
      </c>
      <c r="F32" t="s">
        <v>1777</v>
      </c>
      <c r="G32" s="661" t="s">
        <v>2059</v>
      </c>
      <c r="J32" s="653" t="str">
        <f>IFERROR(VLOOKUP(ROWS($J$2:J32),$A$2:$B$996,2,FALSE),"")</f>
        <v/>
      </c>
    </row>
    <row r="33" spans="1:10" x14ac:dyDescent="0.2">
      <c r="A33">
        <f>IF(ISNUMBER(SEARCH(Cover!$H$13,Table1[[#This Row],[School District]])),MAX($A$1:A32)+1,0)</f>
        <v>0</v>
      </c>
      <c r="B33" s="661" t="s">
        <v>1269</v>
      </c>
      <c r="C33" s="1599">
        <v>26029001026</v>
      </c>
      <c r="D33" s="664">
        <v>26</v>
      </c>
      <c r="E33" t="str">
        <f>IF(OR(Table1[[#This Row],[Type]]=0,Table1[[#This Row],[Type]]&gt;=40),"JA","SD")</f>
        <v>SD</v>
      </c>
      <c r="F33" t="s">
        <v>1786</v>
      </c>
      <c r="G33" s="661" t="s">
        <v>2060</v>
      </c>
      <c r="J33" s="653" t="str">
        <f>IFERROR(VLOOKUP(ROWS($J$2:J33),$A$2:$B$996,2,FALSE),"")</f>
        <v/>
      </c>
    </row>
    <row r="34" spans="1:10" x14ac:dyDescent="0.2">
      <c r="A34">
        <f>IF(ISNUMBER(SEARCH(Cover!$H$13,Table1[[#This Row],[School District]])),MAX($A$1:A33)+1,0)</f>
        <v>0</v>
      </c>
      <c r="B34" s="661" t="s">
        <v>1000</v>
      </c>
      <c r="C34" s="1599">
        <v>51065213026</v>
      </c>
      <c r="D34" s="664">
        <v>26</v>
      </c>
      <c r="E34" t="str">
        <f>IF(OR(Table1[[#This Row],[Type]]=0,Table1[[#This Row],[Type]]&gt;=40),"JA","SD")</f>
        <v>SD</v>
      </c>
      <c r="F34" t="s">
        <v>1787</v>
      </c>
      <c r="G34" s="661" t="s">
        <v>2061</v>
      </c>
      <c r="J34" s="653" t="str">
        <f>IFERROR(VLOOKUP(ROWS($J$2:J34),$A$2:$B$996,2,FALSE),"")</f>
        <v/>
      </c>
    </row>
    <row r="35" spans="1:10" x14ac:dyDescent="0.2">
      <c r="A35">
        <f>IF(ISNUMBER(SEARCH(Cover!$H$13,Table1[[#This Row],[School District]])),MAX($A$1:A34)+1,0)</f>
        <v>0</v>
      </c>
      <c r="B35" s="661" t="s">
        <v>1510</v>
      </c>
      <c r="C35" s="1599">
        <v>7016125002</v>
      </c>
      <c r="D35" s="664">
        <v>2</v>
      </c>
      <c r="E35" t="str">
        <f>IF(OR(Table1[[#This Row],[Type]]=0,Table1[[#This Row],[Type]]&gt;=40),"JA","SD")</f>
        <v>SD</v>
      </c>
      <c r="F35" t="s">
        <v>1766</v>
      </c>
      <c r="G35" s="661" t="s">
        <v>2062</v>
      </c>
      <c r="J35" s="653" t="str">
        <f>IFERROR(VLOOKUP(ROWS($J$2:J35),$A$2:$B$996,2,FALSE),"")</f>
        <v/>
      </c>
    </row>
    <row r="36" spans="1:10" x14ac:dyDescent="0.2">
      <c r="A36">
        <f>IF(ISNUMBER(SEARCH(Cover!$H$13,Table1[[#This Row],[School District]])),MAX($A$1:A35)+1,0)</f>
        <v>0</v>
      </c>
      <c r="B36" s="661" t="s">
        <v>996</v>
      </c>
      <c r="C36" s="1599">
        <v>51084010026</v>
      </c>
      <c r="D36" s="664">
        <v>26</v>
      </c>
      <c r="E36" t="str">
        <f>IF(OR(Table1[[#This Row],[Type]]=0,Table1[[#This Row],[Type]]&gt;=40),"JA","SD")</f>
        <v>SD</v>
      </c>
      <c r="F36" t="s">
        <v>1788</v>
      </c>
      <c r="G36" s="661" t="s">
        <v>2063</v>
      </c>
      <c r="J36" s="653" t="str">
        <f>IFERROR(VLOOKUP(ROWS($J$2:J36),$A$2:$B$996,2,FALSE),"")</f>
        <v/>
      </c>
    </row>
    <row r="37" spans="1:10" x14ac:dyDescent="0.2">
      <c r="A37">
        <f>IF(ISNUMBER(SEARCH(Cover!$H$13,Table1[[#This Row],[School District]])),MAX($A$1:A36)+1,0)</f>
        <v>0</v>
      </c>
      <c r="B37" s="661" t="s">
        <v>1217</v>
      </c>
      <c r="C37" s="1599">
        <v>31045131022</v>
      </c>
      <c r="D37" s="664">
        <v>22</v>
      </c>
      <c r="E37" t="str">
        <f>IF(OR(Table1[[#This Row],[Type]]=0,Table1[[#This Row],[Type]]&gt;=40),"JA","SD")</f>
        <v>SD</v>
      </c>
      <c r="F37" t="s">
        <v>1789</v>
      </c>
      <c r="G37" s="661" t="s">
        <v>2064</v>
      </c>
      <c r="J37" s="653" t="str">
        <f>IFERROR(VLOOKUP(ROWS($J$2:J37),$A$2:$B$996,2,FALSE),"")</f>
        <v/>
      </c>
    </row>
    <row r="38" spans="1:10" x14ac:dyDescent="0.2">
      <c r="A38">
        <f>IF(ISNUMBER(SEARCH(Cover!$H$13,Table1[[#This Row],[School District]])),MAX($A$1:A37)+1,0)</f>
        <v>0</v>
      </c>
      <c r="B38" s="661" t="s">
        <v>1218</v>
      </c>
      <c r="C38" s="1599">
        <v>31045129022</v>
      </c>
      <c r="D38" s="664">
        <v>22</v>
      </c>
      <c r="E38" t="str">
        <f>IF(OR(Table1[[#This Row],[Type]]=0,Table1[[#This Row],[Type]]&gt;=40),"JA","SD")</f>
        <v>SD</v>
      </c>
      <c r="F38" t="s">
        <v>1789</v>
      </c>
      <c r="G38" s="661" t="s">
        <v>2065</v>
      </c>
      <c r="J38" s="653" t="str">
        <f>IFERROR(VLOOKUP(ROWS($J$2:J38),$A$2:$B$996,2,FALSE),"")</f>
        <v/>
      </c>
    </row>
    <row r="39" spans="1:10" x14ac:dyDescent="0.2">
      <c r="A39">
        <f>IF(ISNUMBER(SEARCH(Cover!$H$13,Table1[[#This Row],[School District]])),MAX($A$1:A38)+1,0)</f>
        <v>0</v>
      </c>
      <c r="B39" s="661" t="s">
        <v>1412</v>
      </c>
      <c r="C39" s="1599">
        <v>13014021002</v>
      </c>
      <c r="D39" s="664">
        <v>2</v>
      </c>
      <c r="E39" t="str">
        <f>IF(OR(Table1[[#This Row],[Type]]=0,Table1[[#This Row],[Type]]&gt;=40),"JA","SD")</f>
        <v>SD</v>
      </c>
      <c r="F39" t="s">
        <v>1768</v>
      </c>
      <c r="G39" s="661" t="s">
        <v>2066</v>
      </c>
      <c r="J39" s="653" t="str">
        <f>IFERROR(VLOOKUP(ROWS($J$2:J39),$A$2:$B$996,2,FALSE),"")</f>
        <v/>
      </c>
    </row>
    <row r="40" spans="1:10" x14ac:dyDescent="0.2">
      <c r="A40">
        <f>IF(ISNUMBER(SEARCH(Cover!$H$13,Table1[[#This Row],[School District]])),MAX($A$1:A39)+1,0)</f>
        <v>0</v>
      </c>
      <c r="B40" s="661" t="s">
        <v>1574</v>
      </c>
      <c r="C40" s="1599">
        <v>5016037002</v>
      </c>
      <c r="D40" s="664">
        <v>2</v>
      </c>
      <c r="E40" t="str">
        <f>IF(OR(Table1[[#This Row],[Type]]=0,Table1[[#This Row],[Type]]&gt;=40),"JA","SD")</f>
        <v>SD</v>
      </c>
      <c r="F40" t="s">
        <v>1766</v>
      </c>
      <c r="G40" s="661" t="s">
        <v>2067</v>
      </c>
      <c r="J40" s="653" t="str">
        <f>IFERROR(VLOOKUP(ROWS($J$2:J40),$A$2:$B$996,2,FALSE),"")</f>
        <v/>
      </c>
    </row>
    <row r="41" spans="1:10" x14ac:dyDescent="0.2">
      <c r="A41">
        <f>IF(ISNUMBER(SEARCH(Cover!$H$13,Table1[[#This Row],[School District]])),MAX($A$1:A40)+1,0)</f>
        <v>0</v>
      </c>
      <c r="B41" s="661" t="s">
        <v>998</v>
      </c>
      <c r="C41" s="1599">
        <v>51084005026</v>
      </c>
      <c r="D41" s="664">
        <v>26</v>
      </c>
      <c r="E41" t="str">
        <f>IF(OR(Table1[[#This Row],[Type]]=0,Table1[[#This Row],[Type]]&gt;=40),"JA","SD")</f>
        <v>SD</v>
      </c>
      <c r="F41" t="s">
        <v>1788</v>
      </c>
      <c r="G41" s="661" t="s">
        <v>2068</v>
      </c>
      <c r="J41" s="653" t="str">
        <f>IFERROR(VLOOKUP(ROWS($J$2:J41),$A$2:$B$996,2,FALSE),"")</f>
        <v/>
      </c>
    </row>
    <row r="42" spans="1:10" x14ac:dyDescent="0.2">
      <c r="A42">
        <f>IF(ISNUMBER(SEARCH(Cover!$H$13,Table1[[#This Row],[School District]])),MAX($A$1:A41)+1,0)</f>
        <v>0</v>
      </c>
      <c r="B42" s="661" t="s">
        <v>1163</v>
      </c>
      <c r="C42" s="1599">
        <v>34049106002</v>
      </c>
      <c r="D42" s="664">
        <v>2</v>
      </c>
      <c r="E42" t="str">
        <f>IF(OR(Table1[[#This Row],[Type]]=0,Table1[[#This Row],[Type]]&gt;=40),"JA","SD")</f>
        <v>SD</v>
      </c>
      <c r="F42" t="s">
        <v>1765</v>
      </c>
      <c r="G42" s="661" t="s">
        <v>2069</v>
      </c>
      <c r="J42" s="653" t="str">
        <f>IFERROR(VLOOKUP(ROWS($J$2:J42),$A$2:$B$996,2,FALSE),"")</f>
        <v/>
      </c>
    </row>
    <row r="43" spans="1:10" x14ac:dyDescent="0.2">
      <c r="A43">
        <f>IF(ISNUMBER(SEARCH(Cover!$H$13,Table1[[#This Row],[School District]])),MAX($A$1:A42)+1,0)</f>
        <v>0</v>
      </c>
      <c r="B43" s="661" t="s">
        <v>1148</v>
      </c>
      <c r="C43" s="1599">
        <v>34049220026</v>
      </c>
      <c r="D43" s="664">
        <v>26</v>
      </c>
      <c r="E43" t="str">
        <f>IF(OR(Table1[[#This Row],[Type]]=0,Table1[[#This Row],[Type]]&gt;=40),"JA","SD")</f>
        <v>SD</v>
      </c>
      <c r="F43" t="s">
        <v>3140</v>
      </c>
      <c r="G43" s="661" t="s">
        <v>2070</v>
      </c>
      <c r="J43" s="653" t="str">
        <f>IFERROR(VLOOKUP(ROWS($J$2:J43),$A$2:$B$996,2,FALSE),"")</f>
        <v/>
      </c>
    </row>
    <row r="44" spans="1:10" x14ac:dyDescent="0.2">
      <c r="A44">
        <f>IF(ISNUMBER(SEARCH(Cover!$H$13,Table1[[#This Row],[School District]])),MAX($A$1:A43)+1,0)</f>
        <v>0</v>
      </c>
      <c r="B44" s="661" t="s">
        <v>1410</v>
      </c>
      <c r="C44" s="1599">
        <v>13014057002</v>
      </c>
      <c r="D44" s="664">
        <v>2</v>
      </c>
      <c r="E44" t="str">
        <f>IF(OR(Table1[[#This Row],[Type]]=0,Table1[[#This Row],[Type]]&gt;=40),"JA","SD")</f>
        <v>SD</v>
      </c>
      <c r="F44" t="s">
        <v>1768</v>
      </c>
      <c r="G44" s="661" t="s">
        <v>2071</v>
      </c>
      <c r="J44" s="653" t="str">
        <f>IFERROR(VLOOKUP(ROWS($J$2:J44),$A$2:$B$996,2,FALSE),"")</f>
        <v/>
      </c>
    </row>
    <row r="45" spans="1:10" x14ac:dyDescent="0.2">
      <c r="A45">
        <f>IF(ISNUMBER(SEARCH(Cover!$H$13,Table1[[#This Row],[School District]])),MAX($A$1:A44)+1,0)</f>
        <v>0</v>
      </c>
      <c r="B45" s="661" t="s">
        <v>1047</v>
      </c>
      <c r="C45" s="1599">
        <v>48072066002</v>
      </c>
      <c r="D45" s="664">
        <v>2</v>
      </c>
      <c r="E45" t="str">
        <f>IF(OR(Table1[[#This Row],[Type]]=0,Table1[[#This Row],[Type]]&gt;=40),"JA","SD")</f>
        <v>SD</v>
      </c>
      <c r="F45" t="s">
        <v>1790</v>
      </c>
      <c r="G45" s="661" t="s">
        <v>2072</v>
      </c>
      <c r="J45" s="653" t="str">
        <f>IFERROR(VLOOKUP(ROWS($J$2:J45),$A$2:$B$996,2,FALSE),"")</f>
        <v/>
      </c>
    </row>
    <row r="46" spans="1:10" x14ac:dyDescent="0.2">
      <c r="A46">
        <f>IF(ISNUMBER(SEARCH(Cover!$H$13,Table1[[#This Row],[School District]])),MAX($A$1:A45)+1,0)</f>
        <v>0</v>
      </c>
      <c r="B46" s="661" t="s">
        <v>1219</v>
      </c>
      <c r="C46" s="1599">
        <v>31045101022</v>
      </c>
      <c r="D46" s="664">
        <v>22</v>
      </c>
      <c r="E46" t="str">
        <f>IF(OR(Table1[[#This Row],[Type]]=0,Table1[[#This Row],[Type]]&gt;=40),"JA","SD")</f>
        <v>SD</v>
      </c>
      <c r="F46" t="s">
        <v>1789</v>
      </c>
      <c r="G46" s="661" t="s">
        <v>2073</v>
      </c>
      <c r="J46" s="653" t="str">
        <f>IFERROR(VLOOKUP(ROWS($J$2:J46),$A$2:$B$996,2,FALSE),"")</f>
        <v/>
      </c>
    </row>
    <row r="47" spans="1:10" x14ac:dyDescent="0.2">
      <c r="A47">
        <f>IF(ISNUMBER(SEARCH(Cover!$H$13,Table1[[#This Row],[School District]])),MAX($A$1:A46)+1,0)</f>
        <v>0</v>
      </c>
      <c r="B47" s="661" t="s">
        <v>1791</v>
      </c>
      <c r="C47" s="1599">
        <v>34049003004</v>
      </c>
      <c r="D47" s="664">
        <v>4</v>
      </c>
      <c r="E47" t="str">
        <f>IF(OR(Table1[[#This Row],[Type]]=0,Table1[[#This Row],[Type]]&gt;=40),"JA","SD")</f>
        <v>SD</v>
      </c>
      <c r="F47" t="s">
        <v>1765</v>
      </c>
      <c r="G47" s="661" t="s">
        <v>2074</v>
      </c>
      <c r="J47" s="653" t="str">
        <f>IFERROR(VLOOKUP(ROWS($J$2:J47),$A$2:$B$996,2,FALSE),"")</f>
        <v/>
      </c>
    </row>
    <row r="48" spans="1:10" x14ac:dyDescent="0.2">
      <c r="A48">
        <f>IF(ISNUMBER(SEARCH(Cover!$H$13,Table1[[#This Row],[School District]])),MAX($A$1:A47)+1,0)</f>
        <v>0</v>
      </c>
      <c r="B48" s="661" t="s">
        <v>1628</v>
      </c>
      <c r="C48" s="1599">
        <v>1009015026</v>
      </c>
      <c r="D48" s="664">
        <v>26</v>
      </c>
      <c r="E48" t="str">
        <f>IF(OR(Table1[[#This Row],[Type]]=0,Table1[[#This Row],[Type]]&gt;=40),"JA","SD")</f>
        <v>SD</v>
      </c>
      <c r="F48" t="s">
        <v>1763</v>
      </c>
      <c r="G48" s="661" t="s">
        <v>2075</v>
      </c>
      <c r="J48" s="653" t="str">
        <f>IFERROR(VLOOKUP(ROWS($J$2:J48),$A$2:$B$996,2,FALSE),"")</f>
        <v/>
      </c>
    </row>
    <row r="49" spans="1:10" x14ac:dyDescent="0.2">
      <c r="A49">
        <f>IF(ISNUMBER(SEARCH(Cover!$H$13,Table1[[#This Row],[School District]])),MAX($A$1:A48)+1,0)</f>
        <v>0</v>
      </c>
      <c r="B49" s="661" t="s">
        <v>1609</v>
      </c>
      <c r="C49" s="1599">
        <v>3025020026</v>
      </c>
      <c r="D49" s="664">
        <v>26</v>
      </c>
      <c r="E49" t="str">
        <f>IF(OR(Table1[[#This Row],[Type]]=0,Table1[[#This Row],[Type]]&gt;=40),"JA","SD")</f>
        <v>SD</v>
      </c>
      <c r="F49" t="s">
        <v>3141</v>
      </c>
      <c r="G49" s="661" t="s">
        <v>2076</v>
      </c>
      <c r="J49" s="653" t="str">
        <f>IFERROR(VLOOKUP(ROWS($J$2:J49),$A$2:$B$996,2,FALSE),"")</f>
        <v/>
      </c>
    </row>
    <row r="50" spans="1:10" x14ac:dyDescent="0.2">
      <c r="A50">
        <f>IF(ISNUMBER(SEARCH(Cover!$H$13,Table1[[#This Row],[School District]])),MAX($A$1:A49)+1,0)</f>
        <v>0</v>
      </c>
      <c r="B50" s="661" t="s">
        <v>1792</v>
      </c>
      <c r="C50" s="1599" t="s">
        <v>910</v>
      </c>
      <c r="D50" s="664">
        <v>26</v>
      </c>
      <c r="E50" t="str">
        <f>IF(OR(Table1[[#This Row],[Type]]=0,Table1[[#This Row],[Type]]&gt;=40),"JA","SD")</f>
        <v>SD</v>
      </c>
      <c r="F50" t="s">
        <v>1793</v>
      </c>
      <c r="G50" s="661" t="s">
        <v>2077</v>
      </c>
      <c r="J50" s="653" t="str">
        <f>IFERROR(VLOOKUP(ROWS($J$2:J50),$A$2:$B$996,2,FALSE),"")</f>
        <v/>
      </c>
    </row>
    <row r="51" spans="1:10" ht="15" customHeight="1" x14ac:dyDescent="0.2">
      <c r="A51">
        <f>IF(ISNUMBER(SEARCH(Cover!$H$13,Table1[[#This Row],[School District]])),MAX($A$1:A50)+1,0)</f>
        <v>0</v>
      </c>
      <c r="B51" s="661" t="s">
        <v>1011</v>
      </c>
      <c r="C51" s="1599">
        <v>50082119002</v>
      </c>
      <c r="D51" s="664">
        <v>2</v>
      </c>
      <c r="E51" t="str">
        <f>IF(OR(Table1[[#This Row],[Type]]=0,Table1[[#This Row],[Type]]&gt;=40),"JA","SD")</f>
        <v>SD</v>
      </c>
      <c r="F51" t="s">
        <v>3134</v>
      </c>
      <c r="G51" s="661" t="s">
        <v>2078</v>
      </c>
      <c r="J51" s="653" t="str">
        <f>IFERROR(VLOOKUP(ROWS($J$2:J51),$A$2:$B$996,2,FALSE),"")</f>
        <v/>
      </c>
    </row>
    <row r="52" spans="1:10" x14ac:dyDescent="0.2">
      <c r="A52">
        <f>IF(ISNUMBER(SEARCH(Cover!$H$13,Table1[[#This Row],[School District]])),MAX($A$1:A51)+1,0)</f>
        <v>0</v>
      </c>
      <c r="B52" t="s">
        <v>1724</v>
      </c>
      <c r="C52" s="1599">
        <v>50082801060</v>
      </c>
      <c r="D52" s="664">
        <v>60</v>
      </c>
      <c r="E52" t="str">
        <f>IF(OR(Table1[[#This Row],[Type]]=0,Table1[[#This Row],[Type]]&gt;=40),"JA","SD")</f>
        <v>JA</v>
      </c>
      <c r="F52" t="s">
        <v>3134</v>
      </c>
      <c r="G52" s="661" t="s">
        <v>2079</v>
      </c>
      <c r="J52" s="653" t="str">
        <f>IFERROR(VLOOKUP(ROWS($J$2:J52),$A$2:$B$996,2,FALSE),"")</f>
        <v/>
      </c>
    </row>
    <row r="53" spans="1:10" x14ac:dyDescent="0.2">
      <c r="A53">
        <f>IF(ISNUMBER(SEARCH(Cover!$H$13,Table1[[#This Row],[School District]])),MAX($A$1:A52)+1,0)</f>
        <v>0</v>
      </c>
      <c r="B53" s="661" t="s">
        <v>1012</v>
      </c>
      <c r="C53" s="1599">
        <v>50082118002</v>
      </c>
      <c r="D53" s="664">
        <v>2</v>
      </c>
      <c r="E53" t="str">
        <f>IF(OR(Table1[[#This Row],[Type]]=0,Table1[[#This Row],[Type]]&gt;=40),"JA","SD")</f>
        <v>SD</v>
      </c>
      <c r="F53" t="s">
        <v>3134</v>
      </c>
      <c r="G53" s="661" t="s">
        <v>2080</v>
      </c>
      <c r="J53" s="653" t="str">
        <f>IFERROR(VLOOKUP(ROWS($J$2:J53),$A$2:$B$996,2,FALSE),"")</f>
        <v/>
      </c>
    </row>
    <row r="54" spans="1:10" x14ac:dyDescent="0.2">
      <c r="A54">
        <f>IF(ISNUMBER(SEARCH(Cover!$H$13,Table1[[#This Row],[School District]])),MAX($A$1:A53)+1,0)</f>
        <v>0</v>
      </c>
      <c r="B54" s="661" t="s">
        <v>1003</v>
      </c>
      <c r="C54" s="1599">
        <v>50082201017</v>
      </c>
      <c r="D54" s="664">
        <v>17</v>
      </c>
      <c r="E54" t="str">
        <f>IF(OR(Table1[[#This Row],[Type]]=0,Table1[[#This Row],[Type]]&gt;=40),"JA","SD")</f>
        <v>SD</v>
      </c>
      <c r="F54" t="s">
        <v>3134</v>
      </c>
      <c r="G54" s="661" t="s">
        <v>2081</v>
      </c>
      <c r="J54" s="653" t="str">
        <f>IFERROR(VLOOKUP(ROWS($J$2:J54),$A$2:$B$996,2,FALSE),"")</f>
        <v/>
      </c>
    </row>
    <row r="55" spans="1:10" x14ac:dyDescent="0.2">
      <c r="A55">
        <f>IF(ISNUMBER(SEARCH(Cover!$H$13,Table1[[#This Row],[School District]])),MAX($A$1:A54)+1,0)</f>
        <v>0</v>
      </c>
      <c r="B55" s="661" t="s">
        <v>1544</v>
      </c>
      <c r="C55" s="1599">
        <v>6016088002</v>
      </c>
      <c r="D55" s="664">
        <v>2</v>
      </c>
      <c r="E55" t="str">
        <f>IF(OR(Table1[[#This Row],[Type]]=0,Table1[[#This Row],[Type]]&gt;=40),"JA","SD")</f>
        <v>SD</v>
      </c>
      <c r="F55" t="s">
        <v>1766</v>
      </c>
      <c r="G55" s="661" t="s">
        <v>2082</v>
      </c>
      <c r="J55" s="653" t="str">
        <f>IFERROR(VLOOKUP(ROWS($J$2:J55),$A$2:$B$996,2,FALSE),"")</f>
        <v/>
      </c>
    </row>
    <row r="56" spans="1:10" x14ac:dyDescent="0.2">
      <c r="A56">
        <f>IF(ISNUMBER(SEARCH(Cover!$H$13,Table1[[#This Row],[School District]])),MAX($A$1:A55)+1,0)</f>
        <v>0</v>
      </c>
      <c r="B56" s="661" t="s">
        <v>1598</v>
      </c>
      <c r="C56" s="1599">
        <v>4004100026</v>
      </c>
      <c r="D56" s="664">
        <v>26</v>
      </c>
      <c r="E56" t="str">
        <f>IF(OR(Table1[[#This Row],[Type]]=0,Table1[[#This Row],[Type]]&gt;=40),"JA","SD")</f>
        <v>SD</v>
      </c>
      <c r="F56" t="s">
        <v>3142</v>
      </c>
      <c r="G56" s="661" t="s">
        <v>2083</v>
      </c>
      <c r="J56" s="653" t="str">
        <f>IFERROR(VLOOKUP(ROWS($J$2:J56),$A$2:$B$996,2,FALSE),"")</f>
        <v/>
      </c>
    </row>
    <row r="57" spans="1:10" x14ac:dyDescent="0.2">
      <c r="A57">
        <f>IF(ISNUMBER(SEARCH(Cover!$H$13,Table1[[#This Row],[School District]])),MAX($A$1:A56)+1,0)</f>
        <v>0</v>
      </c>
      <c r="B57" s="661" t="s">
        <v>1119</v>
      </c>
      <c r="C57" s="1599">
        <v>39074005026</v>
      </c>
      <c r="D57" s="664">
        <v>26</v>
      </c>
      <c r="E57" t="str">
        <f>IF(OR(Table1[[#This Row],[Type]]=0,Table1[[#This Row],[Type]]&gt;=40),"JA","SD")</f>
        <v>SD</v>
      </c>
      <c r="F57" t="s">
        <v>1795</v>
      </c>
      <c r="G57" s="661" t="s">
        <v>2084</v>
      </c>
      <c r="J57" s="653" t="str">
        <f>IFERROR(VLOOKUP(ROWS($J$2:J57),$A$2:$B$996,2,FALSE),"")</f>
        <v/>
      </c>
    </row>
    <row r="58" spans="1:10" x14ac:dyDescent="0.2">
      <c r="A58">
        <f>IF(ISNUMBER(SEARCH(Cover!$H$13,Table1[[#This Row],[School District]])),MAX($A$1:A57)+1,0)</f>
        <v>0</v>
      </c>
      <c r="B58" s="661" t="s">
        <v>1338</v>
      </c>
      <c r="C58" s="1599">
        <v>19022025002</v>
      </c>
      <c r="D58" s="664">
        <v>2</v>
      </c>
      <c r="E58" t="str">
        <f>IF(OR(Table1[[#This Row],[Type]]=0,Table1[[#This Row],[Type]]&gt;=40),"JA","SD")</f>
        <v>SD</v>
      </c>
      <c r="F58" t="s">
        <v>3143</v>
      </c>
      <c r="G58" s="661" t="s">
        <v>2085</v>
      </c>
      <c r="J58" s="653" t="str">
        <f>IFERROR(VLOOKUP(ROWS($J$2:J58),$A$2:$B$996,2,FALSE),"")</f>
        <v/>
      </c>
    </row>
    <row r="59" spans="1:10" x14ac:dyDescent="0.2">
      <c r="A59">
        <f>IF(ISNUMBER(SEARCH(Cover!$H$13,Table1[[#This Row],[School District]])),MAX($A$1:A58)+1,0)</f>
        <v>0</v>
      </c>
      <c r="B59" s="661" t="s">
        <v>1348</v>
      </c>
      <c r="C59" s="1599">
        <v>19022002002</v>
      </c>
      <c r="D59" s="664">
        <v>2</v>
      </c>
      <c r="E59" t="str">
        <f>IF(OR(Table1[[#This Row],[Type]]=0,Table1[[#This Row],[Type]]&gt;=40),"JA","SD")</f>
        <v>SD</v>
      </c>
      <c r="F59" t="s">
        <v>1764</v>
      </c>
      <c r="G59" s="661" t="s">
        <v>2086</v>
      </c>
      <c r="J59" s="653" t="str">
        <f>IFERROR(VLOOKUP(ROWS($J$2:J59),$A$2:$B$996,2,FALSE),"")</f>
        <v/>
      </c>
    </row>
    <row r="60" spans="1:10" x14ac:dyDescent="0.2">
      <c r="A60">
        <f>IF(ISNUMBER(SEARCH(Cover!$H$13,Table1[[#This Row],[School District]])),MAX($A$1:A59)+1,0)</f>
        <v>0</v>
      </c>
      <c r="B60" s="661" t="s">
        <v>1299</v>
      </c>
      <c r="C60" s="1599">
        <v>21028047004</v>
      </c>
      <c r="D60" s="664">
        <v>4</v>
      </c>
      <c r="E60" t="str">
        <f>IF(OR(Table1[[#This Row],[Type]]=0,Table1[[#This Row],[Type]]&gt;=40),"JA","SD")</f>
        <v>SD</v>
      </c>
      <c r="F60" t="s">
        <v>1767</v>
      </c>
      <c r="G60" s="661" t="s">
        <v>2087</v>
      </c>
      <c r="J60" s="653" t="str">
        <f>IFERROR(VLOOKUP(ROWS($J$2:J60),$A$2:$B$996,2,FALSE),"")</f>
        <v/>
      </c>
    </row>
    <row r="61" spans="1:10" x14ac:dyDescent="0.2">
      <c r="A61">
        <f>IF(ISNUMBER(SEARCH(Cover!$H$13,Table1[[#This Row],[School District]])),MAX($A$1:A60)+1,0)</f>
        <v>0</v>
      </c>
      <c r="B61" s="661" t="s">
        <v>1796</v>
      </c>
      <c r="C61" s="1599">
        <v>21028103013</v>
      </c>
      <c r="D61" s="664">
        <v>13</v>
      </c>
      <c r="E61" t="str">
        <f>IF(OR(Table1[[#This Row],[Type]]=0,Table1[[#This Row],[Type]]&gt;=40),"JA","SD")</f>
        <v>SD</v>
      </c>
      <c r="F61" t="s">
        <v>1767</v>
      </c>
      <c r="G61" s="661" t="s">
        <v>2088</v>
      </c>
      <c r="J61" s="653" t="str">
        <f>IFERROR(VLOOKUP(ROWS($J$2:J61),$A$2:$B$996,2,FALSE),"")</f>
        <v/>
      </c>
    </row>
    <row r="62" spans="1:10" x14ac:dyDescent="0.2">
      <c r="A62">
        <f>IF(ISNUMBER(SEARCH(Cover!$H$13,Table1[[#This Row],[School District]])),MAX($A$1:A61)+1,0)</f>
        <v>0</v>
      </c>
      <c r="B62" s="661" t="s">
        <v>1545</v>
      </c>
      <c r="C62" s="1599">
        <v>6016087002</v>
      </c>
      <c r="D62" s="664">
        <v>2</v>
      </c>
      <c r="E62" t="str">
        <f>IF(OR(Table1[[#This Row],[Type]]=0,Table1[[#This Row],[Type]]&gt;=40),"JA","SD")</f>
        <v>SD</v>
      </c>
      <c r="F62" t="s">
        <v>1766</v>
      </c>
      <c r="G62" s="661" t="s">
        <v>2089</v>
      </c>
      <c r="J62" s="653" t="str">
        <f>IFERROR(VLOOKUP(ROWS($J$2:J62),$A$2:$B$996,2,FALSE),"")</f>
        <v/>
      </c>
    </row>
    <row r="63" spans="1:10" x14ac:dyDescent="0.2">
      <c r="A63">
        <f>IF(ISNUMBER(SEARCH(Cover!$H$13,Table1[[#This Row],[School District]])),MAX($A$1:A62)+1,0)</f>
        <v>0</v>
      </c>
      <c r="B63" s="661" t="s">
        <v>1534</v>
      </c>
      <c r="C63" s="1599">
        <v>6016098002</v>
      </c>
      <c r="D63" s="664">
        <v>2</v>
      </c>
      <c r="E63" t="str">
        <f>IF(OR(Table1[[#This Row],[Type]]=0,Table1[[#This Row],[Type]]&gt;=40),"JA","SD")</f>
        <v>SD</v>
      </c>
      <c r="F63" t="s">
        <v>1766</v>
      </c>
      <c r="G63" s="661" t="s">
        <v>2090</v>
      </c>
      <c r="J63" s="653" t="str">
        <f>IFERROR(VLOOKUP(ROWS($J$2:J63),$A$2:$B$996,2,FALSE),"")</f>
        <v/>
      </c>
    </row>
    <row r="64" spans="1:10" x14ac:dyDescent="0.2">
      <c r="A64">
        <f>IF(ISNUMBER(SEARCH(Cover!$H$13,Table1[[#This Row],[School District]])),MAX($A$1:A63)+1,0)</f>
        <v>0</v>
      </c>
      <c r="B64" s="661" t="s">
        <v>1532</v>
      </c>
      <c r="C64" s="1599">
        <v>6016100002</v>
      </c>
      <c r="D64" s="664">
        <v>2</v>
      </c>
      <c r="E64" t="str">
        <f>IF(OR(Table1[[#This Row],[Type]]=0,Table1[[#This Row],[Type]]&gt;=40),"JA","SD")</f>
        <v>SD</v>
      </c>
      <c r="F64" t="s">
        <v>1766</v>
      </c>
      <c r="G64" s="661" t="s">
        <v>2091</v>
      </c>
      <c r="J64" s="653" t="str">
        <f>IFERROR(VLOOKUP(ROWS($J$2:J64),$A$2:$B$996,2,FALSE),"")</f>
        <v/>
      </c>
    </row>
    <row r="65" spans="1:10" x14ac:dyDescent="0.2">
      <c r="A65">
        <f>IF(ISNUMBER(SEARCH(Cover!$H$13,Table1[[#This Row],[School District]])),MAX($A$1:A64)+1,0)</f>
        <v>0</v>
      </c>
      <c r="B65" s="661" t="s">
        <v>1099</v>
      </c>
      <c r="C65" s="1599">
        <v>41057008026</v>
      </c>
      <c r="D65" s="664">
        <v>26</v>
      </c>
      <c r="E65" t="str">
        <f>IF(OR(Table1[[#This Row],[Type]]=0,Table1[[#This Row],[Type]]&gt;=40),"JA","SD")</f>
        <v>SD</v>
      </c>
      <c r="F65" t="s">
        <v>1774</v>
      </c>
      <c r="G65" s="661" t="s">
        <v>2092</v>
      </c>
      <c r="J65" s="653" t="str">
        <f>IFERROR(VLOOKUP(ROWS($J$2:J65),$A$2:$B$996,2,FALSE),"")</f>
        <v/>
      </c>
    </row>
    <row r="66" spans="1:10" ht="15" customHeight="1" x14ac:dyDescent="0.2">
      <c r="A66">
        <f>IF(ISNUMBER(SEARCH(Cover!$H$13,Table1[[#This Row],[School District]])),MAX($A$1:A65)+1,0)</f>
        <v>0</v>
      </c>
      <c r="B66" s="661" t="s">
        <v>1397</v>
      </c>
      <c r="C66" s="1599">
        <v>13041082002</v>
      </c>
      <c r="D66" s="664">
        <v>2</v>
      </c>
      <c r="E66" t="str">
        <f>IF(OR(Table1[[#This Row],[Type]]=0,Table1[[#This Row],[Type]]&gt;=40),"JA","SD")</f>
        <v>SD</v>
      </c>
      <c r="F66" t="s">
        <v>1797</v>
      </c>
      <c r="G66" s="661" t="s">
        <v>2093</v>
      </c>
      <c r="J66" s="653" t="str">
        <f>IFERROR(VLOOKUP(ROWS($J$2:J66),$A$2:$B$996,2,FALSE),"")</f>
        <v/>
      </c>
    </row>
    <row r="67" spans="1:10" x14ac:dyDescent="0.2">
      <c r="A67">
        <f>IF(ISNUMBER(SEARCH(Cover!$H$13,Table1[[#This Row],[School District]])),MAX($A$1:A66)+1,0)</f>
        <v>0</v>
      </c>
      <c r="B67" t="s">
        <v>1718</v>
      </c>
      <c r="C67" s="1599">
        <v>47098000061</v>
      </c>
      <c r="D67" s="664">
        <v>61</v>
      </c>
      <c r="E67" t="str">
        <f>IF(OR(Table1[[#This Row],[Type]]=0,Table1[[#This Row],[Type]]&gt;=40),"JA","SD")</f>
        <v>JA</v>
      </c>
      <c r="F67" t="s">
        <v>1798</v>
      </c>
      <c r="G67" s="661" t="s">
        <v>2094</v>
      </c>
      <c r="J67" s="653" t="str">
        <f>IFERROR(VLOOKUP(ROWS($J$2:J67),$A$2:$B$996,2,FALSE),"")</f>
        <v/>
      </c>
    </row>
    <row r="68" spans="1:10" ht="15" customHeight="1" x14ac:dyDescent="0.2">
      <c r="A68">
        <f>IF(ISNUMBER(SEARCH(Cover!$H$13,Table1[[#This Row],[School District]])),MAX($A$1:A67)+1,0)</f>
        <v>0</v>
      </c>
      <c r="B68" s="661" t="s">
        <v>1181</v>
      </c>
      <c r="C68" s="1599">
        <v>34049038002</v>
      </c>
      <c r="D68" s="664">
        <v>2</v>
      </c>
      <c r="E68" t="str">
        <f>IF(OR(Table1[[#This Row],[Type]]=0,Table1[[#This Row],[Type]]&gt;=40),"JA","SD")</f>
        <v>SD</v>
      </c>
      <c r="F68" t="s">
        <v>1765</v>
      </c>
      <c r="G68" s="661" t="s">
        <v>2095</v>
      </c>
      <c r="J68" s="653" t="str">
        <f>IFERROR(VLOOKUP(ROWS($J$2:J68),$A$2:$B$996,2,FALSE),"")</f>
        <v/>
      </c>
    </row>
    <row r="69" spans="1:10" x14ac:dyDescent="0.2">
      <c r="A69">
        <f>IF(ISNUMBER(SEARCH(Cover!$H$13,Table1[[#This Row],[School District]])),MAX($A$1:A68)+1,0)</f>
        <v>0</v>
      </c>
      <c r="B69" s="661" t="s">
        <v>1799</v>
      </c>
      <c r="C69" s="1599">
        <v>54092001026</v>
      </c>
      <c r="D69" s="664">
        <v>26</v>
      </c>
      <c r="E69" t="str">
        <f>IF(OR(Table1[[#This Row],[Type]]=0,Table1[[#This Row],[Type]]&gt;=40),"JA","SD")</f>
        <v>SD</v>
      </c>
      <c r="F69" t="s">
        <v>1783</v>
      </c>
      <c r="G69" s="661" t="s">
        <v>2096</v>
      </c>
      <c r="J69" s="653" t="str">
        <f>IFERROR(VLOOKUP(ROWS($J$2:J69),$A$2:$B$996,2,FALSE),"")</f>
        <v/>
      </c>
    </row>
    <row r="70" spans="1:10" ht="15" customHeight="1" x14ac:dyDescent="0.2">
      <c r="A70">
        <f>IF(ISNUMBER(SEARCH(Cover!$H$13,Table1[[#This Row],[School District]])),MAX($A$1:A69)+1,0)</f>
        <v>0</v>
      </c>
      <c r="B70" t="s">
        <v>1730</v>
      </c>
      <c r="C70" s="1599">
        <v>54092800080</v>
      </c>
      <c r="D70" s="664">
        <v>80</v>
      </c>
      <c r="E70" t="str">
        <f>IF(OR(Table1[[#This Row],[Type]]=0,Table1[[#This Row],[Type]]&gt;=40),"JA","SD")</f>
        <v>JA</v>
      </c>
      <c r="F70" t="s">
        <v>1783</v>
      </c>
      <c r="G70" s="661" t="s">
        <v>2097</v>
      </c>
      <c r="J70" s="653" t="str">
        <f>IFERROR(VLOOKUP(ROWS($J$2:J70),$A$2:$B$996,2,FALSE),"")</f>
        <v/>
      </c>
    </row>
    <row r="71" spans="1:10" x14ac:dyDescent="0.2">
      <c r="A71">
        <f>IF(ISNUMBER(SEARCH(Cover!$H$13,Table1[[#This Row],[School District]])),MAX($A$1:A70)+1,0)</f>
        <v>0</v>
      </c>
      <c r="B71" t="s">
        <v>1722</v>
      </c>
      <c r="C71" s="1599">
        <v>49081865060</v>
      </c>
      <c r="D71" s="664">
        <v>60</v>
      </c>
      <c r="E71" t="str">
        <f>IF(OR(Table1[[#This Row],[Type]]=0,Table1[[#This Row],[Type]]&gt;=40),"JA","SD")</f>
        <v>JA</v>
      </c>
      <c r="F71" t="s">
        <v>1800</v>
      </c>
      <c r="G71" s="661" t="s">
        <v>2098</v>
      </c>
      <c r="J71" s="653" t="str">
        <f>IFERROR(VLOOKUP(ROWS($J$2:J71),$A$2:$B$996,2,FALSE),"")</f>
        <v/>
      </c>
    </row>
    <row r="72" spans="1:10" x14ac:dyDescent="0.2">
      <c r="A72">
        <f>IF(ISNUMBER(SEARCH(Cover!$H$13,Table1[[#This Row],[School District]])),MAX($A$1:A71)+1,0)</f>
        <v>0</v>
      </c>
      <c r="B72" s="661" t="s">
        <v>1471</v>
      </c>
      <c r="C72" s="1599">
        <v>7016206017</v>
      </c>
      <c r="D72" s="664">
        <v>17</v>
      </c>
      <c r="E72" t="str">
        <f>IF(OR(Table1[[#This Row],[Type]]=0,Table1[[#This Row],[Type]]&gt;=40),"JA","SD")</f>
        <v>SD</v>
      </c>
      <c r="F72" t="s">
        <v>3144</v>
      </c>
      <c r="G72" s="661" t="s">
        <v>2099</v>
      </c>
      <c r="J72" s="653" t="str">
        <f>IFERROR(VLOOKUP(ROWS($J$2:J72),$A$2:$B$996,2,FALSE),"")</f>
        <v/>
      </c>
    </row>
    <row r="73" spans="1:10" ht="15" customHeight="1" x14ac:dyDescent="0.2">
      <c r="A73">
        <f>IF(ISNUMBER(SEARCH(Cover!$H$13,Table1[[#This Row],[School District]])),MAX($A$1:A72)+1,0)</f>
        <v>0</v>
      </c>
      <c r="B73" s="661" t="s">
        <v>1342</v>
      </c>
      <c r="C73" s="1599">
        <v>19022013002</v>
      </c>
      <c r="D73" s="664">
        <v>2</v>
      </c>
      <c r="E73" t="str">
        <f>IF(OR(Table1[[#This Row],[Type]]=0,Table1[[#This Row],[Type]]&gt;=40),"JA","SD")</f>
        <v>SD</v>
      </c>
      <c r="F73" t="s">
        <v>3143</v>
      </c>
      <c r="G73" s="661" t="s">
        <v>2100</v>
      </c>
      <c r="J73" s="653" t="str">
        <f>IFERROR(VLOOKUP(ROWS($J$2:J73),$A$2:$B$996,2,FALSE),"")</f>
        <v/>
      </c>
    </row>
    <row r="74" spans="1:10" x14ac:dyDescent="0.2">
      <c r="A74">
        <f>IF(ISNUMBER(SEARCH(Cover!$H$13,Table1[[#This Row],[School District]])),MAX($A$1:A73)+1,0)</f>
        <v>0</v>
      </c>
      <c r="B74" t="s">
        <v>1677</v>
      </c>
      <c r="C74" s="1599">
        <v>17064087041</v>
      </c>
      <c r="D74" s="664">
        <v>41</v>
      </c>
      <c r="E74" t="str">
        <f>IF(OR(Table1[[#This Row],[Type]]=0,Table1[[#This Row],[Type]]&gt;=40),"JA","SD")</f>
        <v>JA</v>
      </c>
      <c r="F74" t="s">
        <v>1801</v>
      </c>
      <c r="G74" s="661" t="s">
        <v>2101</v>
      </c>
      <c r="J74" s="653" t="str">
        <f>IFERROR(VLOOKUP(ROWS($J$2:J74),$A$2:$B$996,2,FALSE),"")</f>
        <v/>
      </c>
    </row>
    <row r="75" spans="1:10" x14ac:dyDescent="0.2">
      <c r="A75">
        <f>IF(ISNUMBER(SEARCH(Cover!$H$13,Table1[[#This Row],[School District]])),MAX($A$1:A74)+1,0)</f>
        <v>0</v>
      </c>
      <c r="B75" s="661" t="s">
        <v>1349</v>
      </c>
      <c r="C75" s="1599">
        <v>17064087025</v>
      </c>
      <c r="D75" s="664">
        <v>25</v>
      </c>
      <c r="E75" t="str">
        <f>IF(OR(Table1[[#This Row],[Type]]=0,Table1[[#This Row],[Type]]&gt;=40),"JA","SD")</f>
        <v>SD</v>
      </c>
      <c r="F75" t="s">
        <v>1801</v>
      </c>
      <c r="G75" s="661" t="s">
        <v>2102</v>
      </c>
      <c r="J75" s="653" t="str">
        <f>IFERROR(VLOOKUP(ROWS($J$2:J75),$A$2:$B$996,2,FALSE),"")</f>
        <v/>
      </c>
    </row>
    <row r="76" spans="1:10" x14ac:dyDescent="0.2">
      <c r="A76">
        <f>IF(ISNUMBER(SEARCH(Cover!$H$13,Table1[[#This Row],[School District]])),MAX($A$1:A75)+1,0)</f>
        <v>0</v>
      </c>
      <c r="B76" s="661" t="s">
        <v>1370</v>
      </c>
      <c r="C76" s="1599">
        <v>17020018026</v>
      </c>
      <c r="D76" s="664">
        <v>26</v>
      </c>
      <c r="E76" t="str">
        <f>IF(OR(Table1[[#This Row],[Type]]=0,Table1[[#This Row],[Type]]&gt;=40),"JA","SD")</f>
        <v>SD</v>
      </c>
      <c r="F76" t="s">
        <v>3145</v>
      </c>
      <c r="G76" s="661" t="s">
        <v>2103</v>
      </c>
      <c r="J76" s="653" t="str">
        <f>IFERROR(VLOOKUP(ROWS($J$2:J76),$A$2:$B$996,2,FALSE),"")</f>
        <v/>
      </c>
    </row>
    <row r="77" spans="1:10" ht="15" customHeight="1" x14ac:dyDescent="0.2">
      <c r="A77">
        <f>IF(ISNUMBER(SEARCH(Cover!$H$13,Table1[[#This Row],[School District]])),MAX($A$1:A76)+1,0)</f>
        <v>0</v>
      </c>
      <c r="B77" s="661" t="s">
        <v>1803</v>
      </c>
      <c r="C77" s="1599">
        <v>13041318027</v>
      </c>
      <c r="D77" s="664">
        <v>27</v>
      </c>
      <c r="E77" t="str">
        <f>IF(OR(Table1[[#This Row],[Type]]=0,Table1[[#This Row],[Type]]&gt;=40),"JA","SD")</f>
        <v>SD</v>
      </c>
      <c r="F77" t="s">
        <v>1797</v>
      </c>
      <c r="G77" s="661" t="s">
        <v>2104</v>
      </c>
      <c r="J77" s="653" t="str">
        <f>IFERROR(VLOOKUP(ROWS($J$2:J77),$A$2:$B$996,2,FALSE),"")</f>
        <v/>
      </c>
    </row>
    <row r="78" spans="1:10" x14ac:dyDescent="0.2">
      <c r="A78">
        <f>IF(ISNUMBER(SEARCH(Cover!$H$13,Table1[[#This Row],[School District]])),MAX($A$1:A77)+1,0)</f>
        <v>0</v>
      </c>
      <c r="B78" t="s">
        <v>1707</v>
      </c>
      <c r="C78" s="1599">
        <v>35059005061</v>
      </c>
      <c r="D78" s="664">
        <v>61</v>
      </c>
      <c r="E78" t="str">
        <f>IF(OR(Table1[[#This Row],[Type]]=0,Table1[[#This Row],[Type]]&gt;=40),"JA","SD")</f>
        <v>JA</v>
      </c>
      <c r="F78" t="s">
        <v>1818</v>
      </c>
      <c r="G78" s="661" t="s">
        <v>2105</v>
      </c>
      <c r="J78" s="653" t="str">
        <f>IFERROR(VLOOKUP(ROWS($J$2:J78),$A$2:$B$996,2,FALSE),"")</f>
        <v/>
      </c>
    </row>
    <row r="79" spans="1:10" ht="15" customHeight="1" x14ac:dyDescent="0.2">
      <c r="A79">
        <f>IF(ISNUMBER(SEARCH(Cover!$H$13,Table1[[#This Row],[School District]])),MAX($A$1:A78)+1,0)</f>
        <v>0</v>
      </c>
      <c r="B79" s="661" t="s">
        <v>1805</v>
      </c>
      <c r="C79" s="1599">
        <v>3003002026</v>
      </c>
      <c r="D79" s="664">
        <v>26</v>
      </c>
      <c r="E79" t="str">
        <f>IF(OR(Table1[[#This Row],[Type]]=0,Table1[[#This Row],[Type]]&gt;=40),"JA","SD")</f>
        <v>SD</v>
      </c>
      <c r="F79" t="s">
        <v>3146</v>
      </c>
      <c r="G79" s="661" t="s">
        <v>2106</v>
      </c>
      <c r="J79" s="653" t="str">
        <f>IFERROR(VLOOKUP(ROWS($J$2:J79),$A$2:$B$996,2,FALSE),"")</f>
        <v/>
      </c>
    </row>
    <row r="80" spans="1:10" x14ac:dyDescent="0.2">
      <c r="A80">
        <f>IF(ISNUMBER(SEARCH(Cover!$H$13,Table1[[#This Row],[School District]])),MAX($A$1:A79)+1,0)</f>
        <v>0</v>
      </c>
      <c r="B80" t="s">
        <v>1641</v>
      </c>
      <c r="C80" s="1599">
        <v>3026741045</v>
      </c>
      <c r="D80" s="664">
        <v>45</v>
      </c>
      <c r="E80" t="str">
        <f>IF(OR(Table1[[#This Row],[Type]]=0,Table1[[#This Row],[Type]]&gt;=40),"JA","SD")</f>
        <v>JA</v>
      </c>
      <c r="F80" t="s">
        <v>3295</v>
      </c>
      <c r="G80" s="661" t="s">
        <v>2107</v>
      </c>
      <c r="J80" s="653" t="str">
        <f>IFERROR(VLOOKUP(ROWS($J$2:J80),$A$2:$B$996,2,FALSE),"")</f>
        <v/>
      </c>
    </row>
    <row r="81" spans="1:10" x14ac:dyDescent="0.2">
      <c r="A81">
        <f>IF(ISNUMBER(SEARCH(Cover!$H$13,Table1[[#This Row],[School District]])),MAX($A$1:A80)+1,0)</f>
        <v>0</v>
      </c>
      <c r="B81" s="661" t="s">
        <v>1202</v>
      </c>
      <c r="C81" s="1599">
        <v>32046053002</v>
      </c>
      <c r="D81" s="664">
        <v>2</v>
      </c>
      <c r="E81" t="str">
        <f>IF(OR(Table1[[#This Row],[Type]]=0,Table1[[#This Row],[Type]]&gt;=40),"JA","SD")</f>
        <v>SD</v>
      </c>
      <c r="F81" t="s">
        <v>1808</v>
      </c>
      <c r="G81" s="661" t="s">
        <v>2108</v>
      </c>
      <c r="J81" s="653" t="str">
        <f>IFERROR(VLOOKUP(ROWS($J$2:J81),$A$2:$B$996,2,FALSE),"")</f>
        <v/>
      </c>
    </row>
    <row r="82" spans="1:10" x14ac:dyDescent="0.2">
      <c r="A82">
        <f>IF(ISNUMBER(SEARCH(Cover!$H$13,Table1[[#This Row],[School District]])),MAX($A$1:A81)+1,0)</f>
        <v>0</v>
      </c>
      <c r="B82" s="661" t="s">
        <v>1277</v>
      </c>
      <c r="C82" s="1599">
        <v>24032075002</v>
      </c>
      <c r="D82" s="664">
        <v>2</v>
      </c>
      <c r="E82" t="str">
        <f>IF(OR(Table1[[#This Row],[Type]]=0,Table1[[#This Row],[Type]]&gt;=40),"JA","SD")</f>
        <v>SD</v>
      </c>
      <c r="F82" t="s">
        <v>1809</v>
      </c>
      <c r="G82" s="661" t="s">
        <v>2109</v>
      </c>
      <c r="J82" s="653" t="str">
        <f>IFERROR(VLOOKUP(ROWS($J$2:J82),$A$2:$B$996,2,FALSE),"")</f>
        <v/>
      </c>
    </row>
    <row r="83" spans="1:10" x14ac:dyDescent="0.2">
      <c r="A83">
        <f>IF(ISNUMBER(SEARCH(Cover!$H$13,Table1[[#This Row],[School District]])),MAX($A$1:A82)+1,0)</f>
        <v>0</v>
      </c>
      <c r="B83" s="661" t="s">
        <v>1237</v>
      </c>
      <c r="C83" s="1599">
        <v>28088001026</v>
      </c>
      <c r="D83" s="664">
        <v>26</v>
      </c>
      <c r="E83" t="str">
        <f>IF(OR(Table1[[#This Row],[Type]]=0,Table1[[#This Row],[Type]]&gt;=40),"JA","SD")</f>
        <v>SD</v>
      </c>
      <c r="F83" t="s">
        <v>3147</v>
      </c>
      <c r="G83" s="661" t="s">
        <v>2110</v>
      </c>
      <c r="J83" s="653" t="str">
        <f>IFERROR(VLOOKUP(ROWS($J$2:J83),$A$2:$B$996,2,FALSE),"")</f>
        <v/>
      </c>
    </row>
    <row r="84" spans="1:10" x14ac:dyDescent="0.2">
      <c r="A84">
        <f>IF(ISNUMBER(SEARCH(Cover!$H$13,Table1[[#This Row],[School District]])),MAX($A$1:A83)+1,0)</f>
        <v>0</v>
      </c>
      <c r="B84" s="661" t="s">
        <v>1810</v>
      </c>
      <c r="C84" s="1599">
        <v>32046307016</v>
      </c>
      <c r="D84" s="664">
        <v>16</v>
      </c>
      <c r="E84" t="str">
        <f>IF(OR(Table1[[#This Row],[Type]]=0,Table1[[#This Row],[Type]]&gt;=40),"JA","SD")</f>
        <v>SD</v>
      </c>
      <c r="F84" t="s">
        <v>1808</v>
      </c>
      <c r="G84" s="661" t="s">
        <v>2111</v>
      </c>
      <c r="J84" s="653" t="str">
        <f>IFERROR(VLOOKUP(ROWS($J$2:J84),$A$2:$B$996,2,FALSE),"")</f>
        <v/>
      </c>
    </row>
    <row r="85" spans="1:10" x14ac:dyDescent="0.2">
      <c r="A85">
        <f>IF(ISNUMBER(SEARCH(Cover!$H$13,Table1[[#This Row],[School District]])),MAX($A$1:A84)+1,0)</f>
        <v>0</v>
      </c>
      <c r="B85" s="661" t="s">
        <v>1201</v>
      </c>
      <c r="C85" s="1599">
        <v>32046061002</v>
      </c>
      <c r="D85" s="664">
        <v>2</v>
      </c>
      <c r="E85" t="str">
        <f>IF(OR(Table1[[#This Row],[Type]]=0,Table1[[#This Row],[Type]]&gt;=40),"JA","SD")</f>
        <v>SD</v>
      </c>
      <c r="F85" t="s">
        <v>1808</v>
      </c>
      <c r="G85" s="661" t="s">
        <v>2112</v>
      </c>
      <c r="J85" s="653" t="str">
        <f>IFERROR(VLOOKUP(ROWS($J$2:J85),$A$2:$B$996,2,FALSE),"")</f>
        <v/>
      </c>
    </row>
    <row r="86" spans="1:10" x14ac:dyDescent="0.2">
      <c r="A86">
        <f>IF(ISNUMBER(SEARCH(Cover!$H$13,Table1[[#This Row],[School District]])),MAX($A$1:A85)+1,0)</f>
        <v>0</v>
      </c>
      <c r="B86" s="661" t="s">
        <v>1811</v>
      </c>
      <c r="C86" s="1599">
        <v>13014012004</v>
      </c>
      <c r="D86" s="664">
        <v>4</v>
      </c>
      <c r="E86" t="str">
        <f>IF(OR(Table1[[#This Row],[Type]]=0,Table1[[#This Row],[Type]]&gt;=40),"JA","SD")</f>
        <v>SD</v>
      </c>
      <c r="F86" t="s">
        <v>1768</v>
      </c>
      <c r="G86" s="661" t="s">
        <v>2113</v>
      </c>
      <c r="J86" s="653" t="str">
        <f>IFERROR(VLOOKUP(ROWS($J$2:J86),$A$2:$B$996,2,FALSE),"")</f>
        <v/>
      </c>
    </row>
    <row r="87" spans="1:10" x14ac:dyDescent="0.2">
      <c r="A87">
        <f>IF(ISNUMBER(SEARCH(Cover!$H$13,Table1[[#This Row],[School District]])),MAX($A$1:A86)+1,0)</f>
        <v>0</v>
      </c>
      <c r="B87" s="661" t="s">
        <v>1466</v>
      </c>
      <c r="C87" s="1599">
        <v>7016228016</v>
      </c>
      <c r="D87" s="664">
        <v>16</v>
      </c>
      <c r="E87" t="str">
        <f>IF(OR(Table1[[#This Row],[Type]]=0,Table1[[#This Row],[Type]]&gt;=40),"JA","SD")</f>
        <v>SD</v>
      </c>
      <c r="F87" t="s">
        <v>1766</v>
      </c>
      <c r="G87" s="661" t="s">
        <v>2114</v>
      </c>
      <c r="J87" s="653" t="str">
        <f>IFERROR(VLOOKUP(ROWS($J$2:J87),$A$2:$B$996,2,FALSE),"")</f>
        <v/>
      </c>
    </row>
    <row r="88" spans="1:10" x14ac:dyDescent="0.2">
      <c r="A88">
        <f>IF(ISNUMBER(SEARCH(Cover!$H$13,Table1[[#This Row],[School District]])),MAX($A$1:A87)+1,0)</f>
        <v>0</v>
      </c>
      <c r="B88" s="661" t="s">
        <v>1042</v>
      </c>
      <c r="C88" s="1599">
        <v>48072309026</v>
      </c>
      <c r="D88" s="664">
        <v>26</v>
      </c>
      <c r="E88" t="str">
        <f>IF(OR(Table1[[#This Row],[Type]]=0,Table1[[#This Row],[Type]]&gt;=40),"JA","SD")</f>
        <v>SD</v>
      </c>
      <c r="F88" t="s">
        <v>1790</v>
      </c>
      <c r="G88" s="661" t="s">
        <v>2115</v>
      </c>
      <c r="J88" s="653" t="str">
        <f>IFERROR(VLOOKUP(ROWS($J$2:J88),$A$2:$B$996,2,FALSE),"")</f>
        <v/>
      </c>
    </row>
    <row r="89" spans="1:10" x14ac:dyDescent="0.2">
      <c r="A89">
        <f>IF(ISNUMBER(SEARCH(Cover!$H$13,Table1[[#This Row],[School District]])),MAX($A$1:A88)+1,0)</f>
        <v>0</v>
      </c>
      <c r="B89" s="661" t="s">
        <v>1537</v>
      </c>
      <c r="C89" s="1599">
        <v>6016095002</v>
      </c>
      <c r="D89" s="664">
        <v>2</v>
      </c>
      <c r="E89" t="str">
        <f>IF(OR(Table1[[#This Row],[Type]]=0,Table1[[#This Row],[Type]]&gt;=40),"JA","SD")</f>
        <v>SD</v>
      </c>
      <c r="F89" t="s">
        <v>1766</v>
      </c>
      <c r="G89" s="661" t="s">
        <v>2116</v>
      </c>
      <c r="J89" s="653" t="str">
        <f>IFERROR(VLOOKUP(ROWS($J$2:J89),$A$2:$B$996,2,FALSE),"")</f>
        <v/>
      </c>
    </row>
    <row r="90" spans="1:10" x14ac:dyDescent="0.2">
      <c r="A90">
        <f>IF(ISNUMBER(SEARCH(Cover!$H$13,Table1[[#This Row],[School District]])),MAX($A$1:A89)+1,0)</f>
        <v>0</v>
      </c>
      <c r="B90" s="661" t="s">
        <v>1812</v>
      </c>
      <c r="C90" s="1599">
        <v>50082188022</v>
      </c>
      <c r="D90" s="664">
        <v>22</v>
      </c>
      <c r="E90" t="str">
        <f>IF(OR(Table1[[#This Row],[Type]]=0,Table1[[#This Row],[Type]]&gt;=40),"JA","SD")</f>
        <v>SD</v>
      </c>
      <c r="F90" t="s">
        <v>3134</v>
      </c>
      <c r="G90" s="661" t="s">
        <v>2117</v>
      </c>
      <c r="J90" s="653" t="str">
        <f>IFERROR(VLOOKUP(ROWS($J$2:J90),$A$2:$B$996,2,FALSE),"")</f>
        <v/>
      </c>
    </row>
    <row r="91" spans="1:10" x14ac:dyDescent="0.2">
      <c r="A91">
        <f>IF(ISNUMBER(SEARCH(Cover!$H$13,Table1[[#This Row],[School District]])),MAX($A$1:A90)+1,0)</f>
        <v>0</v>
      </c>
      <c r="B91" s="661" t="s">
        <v>1479</v>
      </c>
      <c r="C91" s="1599">
        <v>7016167002</v>
      </c>
      <c r="D91" s="664">
        <v>2</v>
      </c>
      <c r="E91" t="str">
        <f>IF(OR(Table1[[#This Row],[Type]]=0,Table1[[#This Row],[Type]]&gt;=40),"JA","SD")</f>
        <v>SD</v>
      </c>
      <c r="F91" t="s">
        <v>1766</v>
      </c>
      <c r="G91" s="661" t="s">
        <v>2118</v>
      </c>
      <c r="J91" s="653" t="str">
        <f>IFERROR(VLOOKUP(ROWS($J$2:J91),$A$2:$B$996,2,FALSE),"")</f>
        <v/>
      </c>
    </row>
    <row r="92" spans="1:10" x14ac:dyDescent="0.2">
      <c r="A92">
        <f>IF(ISNUMBER(SEARCH(Cover!$H$13,Table1[[#This Row],[School District]])),MAX($A$1:A91)+1,0)</f>
        <v>0</v>
      </c>
      <c r="B92" s="661" t="s">
        <v>1813</v>
      </c>
      <c r="C92" s="1599">
        <v>1005001026</v>
      </c>
      <c r="D92" s="664">
        <v>26</v>
      </c>
      <c r="E92" t="str">
        <f>IF(OR(Table1[[#This Row],[Type]]=0,Table1[[#This Row],[Type]]&gt;=40),"JA","SD")</f>
        <v>SD</v>
      </c>
      <c r="F92" t="s">
        <v>1814</v>
      </c>
      <c r="G92" s="661" t="s">
        <v>2119</v>
      </c>
      <c r="J92" s="653" t="str">
        <f>IFERROR(VLOOKUP(ROWS($J$2:J92),$A$2:$B$996,2,FALSE),"")</f>
        <v/>
      </c>
    </row>
    <row r="93" spans="1:10" x14ac:dyDescent="0.2">
      <c r="A93">
        <f>IF(ISNUMBER(SEARCH(Cover!$H$13,Table1[[#This Row],[School District]])),MAX($A$1:A92)+1,0)</f>
        <v>0</v>
      </c>
      <c r="B93" s="661" t="s">
        <v>1605</v>
      </c>
      <c r="C93" s="1599">
        <v>3026201026</v>
      </c>
      <c r="D93" s="664">
        <v>26</v>
      </c>
      <c r="E93" t="str">
        <f>IF(OR(Table1[[#This Row],[Type]]=0,Table1[[#This Row],[Type]]&gt;=40),"JA","SD")</f>
        <v>SD</v>
      </c>
      <c r="F93" t="s">
        <v>1807</v>
      </c>
      <c r="G93" s="661" t="s">
        <v>2120</v>
      </c>
      <c r="J93" s="653" t="str">
        <f>IFERROR(VLOOKUP(ROWS($J$2:J93),$A$2:$B$996,2,FALSE),"")</f>
        <v/>
      </c>
    </row>
    <row r="94" spans="1:10" x14ac:dyDescent="0.2">
      <c r="A94">
        <f>IF(ISNUMBER(SEARCH(Cover!$H$13,Table1[[#This Row],[School District]])),MAX($A$1:A93)+1,0)</f>
        <v>0</v>
      </c>
      <c r="B94" s="661" t="s">
        <v>1116</v>
      </c>
      <c r="C94" s="1599">
        <v>40007042026</v>
      </c>
      <c r="D94" s="664">
        <v>26</v>
      </c>
      <c r="E94" t="str">
        <f>IF(OR(Table1[[#This Row],[Type]]=0,Table1[[#This Row],[Type]]&gt;=40),"JA","SD")</f>
        <v>SD</v>
      </c>
      <c r="F94" t="s">
        <v>1815</v>
      </c>
      <c r="G94" s="661" t="s">
        <v>2121</v>
      </c>
      <c r="J94" s="653" t="str">
        <f>IFERROR(VLOOKUP(ROWS($J$2:J94),$A$2:$B$996,2,FALSE),"")</f>
        <v/>
      </c>
    </row>
    <row r="95" spans="1:10" x14ac:dyDescent="0.2">
      <c r="A95">
        <f>IF(ISNUMBER(SEARCH(Cover!$H$13,Table1[[#This Row],[School District]])),MAX($A$1:A94)+1,0)</f>
        <v>0</v>
      </c>
      <c r="B95" s="661" t="s">
        <v>1290</v>
      </c>
      <c r="C95" s="1599">
        <v>21044043003</v>
      </c>
      <c r="D95" s="664">
        <v>3</v>
      </c>
      <c r="E95" t="str">
        <f>IF(OR(Table1[[#This Row],[Type]]=0,Table1[[#This Row],[Type]]&gt;=40),"JA","SD")</f>
        <v>SD</v>
      </c>
      <c r="F95" t="s">
        <v>1816</v>
      </c>
      <c r="G95" s="661" t="s">
        <v>2122</v>
      </c>
      <c r="J95" s="653" t="str">
        <f>IFERROR(VLOOKUP(ROWS($J$2:J95),$A$2:$B$996,2,FALSE),"")</f>
        <v/>
      </c>
    </row>
    <row r="96" spans="1:10" x14ac:dyDescent="0.2">
      <c r="A96">
        <f>IF(ISNUMBER(SEARCH(Cover!$H$13,Table1[[#This Row],[School District]])),MAX($A$1:A95)+1,0)</f>
        <v>0</v>
      </c>
      <c r="B96" s="661" t="s">
        <v>1107</v>
      </c>
      <c r="C96" s="1599">
        <v>40056008026</v>
      </c>
      <c r="D96" s="664">
        <v>26</v>
      </c>
      <c r="E96" t="str">
        <f>IF(OR(Table1[[#This Row],[Type]]=0,Table1[[#This Row],[Type]]&gt;=40),"JA","SD")</f>
        <v>SD</v>
      </c>
      <c r="F96" t="s">
        <v>3148</v>
      </c>
      <c r="G96" s="661" t="s">
        <v>2123</v>
      </c>
      <c r="J96" s="653" t="str">
        <f>IFERROR(VLOOKUP(ROWS($J$2:J96),$A$2:$B$996,2,FALSE),"")</f>
        <v/>
      </c>
    </row>
    <row r="97" spans="1:10" x14ac:dyDescent="0.2">
      <c r="A97">
        <f>IF(ISNUMBER(SEARCH(Cover!$H$13,Table1[[#This Row],[School District]])),MAX($A$1:A96)+1,0)</f>
        <v>0</v>
      </c>
      <c r="B97" s="661" t="s">
        <v>1516</v>
      </c>
      <c r="C97" s="1599">
        <v>7016111002</v>
      </c>
      <c r="D97" s="664">
        <v>2</v>
      </c>
      <c r="E97" t="str">
        <f>IF(OR(Table1[[#This Row],[Type]]=0,Table1[[#This Row],[Type]]&gt;=40),"JA","SD")</f>
        <v>SD</v>
      </c>
      <c r="F97" t="s">
        <v>1766</v>
      </c>
      <c r="G97" s="661" t="s">
        <v>2124</v>
      </c>
      <c r="J97" s="653" t="str">
        <f>IFERROR(VLOOKUP(ROWS($J$2:J97),$A$2:$B$996,2,FALSE),"")</f>
        <v/>
      </c>
    </row>
    <row r="98" spans="1:10" x14ac:dyDescent="0.2">
      <c r="A98">
        <f>IF(ISNUMBER(SEARCH(Cover!$H$13,Table1[[#This Row],[School District]])),MAX($A$1:A97)+1,0)</f>
        <v>0</v>
      </c>
      <c r="B98" s="661" t="s">
        <v>1248</v>
      </c>
      <c r="C98" s="1599">
        <v>28006340026</v>
      </c>
      <c r="D98" s="664">
        <v>26</v>
      </c>
      <c r="E98" t="str">
        <f>IF(OR(Table1[[#This Row],[Type]]=0,Table1[[#This Row],[Type]]&gt;=40),"JA","SD")</f>
        <v>SD</v>
      </c>
      <c r="F98" t="s">
        <v>1818</v>
      </c>
      <c r="G98" s="661" t="s">
        <v>2125</v>
      </c>
      <c r="J98" s="653" t="str">
        <f>IFERROR(VLOOKUP(ROWS($J$2:J98),$A$2:$B$996,2,FALSE),"")</f>
        <v/>
      </c>
    </row>
    <row r="99" spans="1:10" x14ac:dyDescent="0.2">
      <c r="A99">
        <f>IF(ISNUMBER(SEARCH(Cover!$H$13,Table1[[#This Row],[School District]])),MAX($A$1:A98)+1,0)</f>
        <v>0</v>
      </c>
      <c r="B99" s="661" t="s">
        <v>1489</v>
      </c>
      <c r="C99" s="1599">
        <v>7016154502</v>
      </c>
      <c r="D99" s="664">
        <v>2</v>
      </c>
      <c r="E99" t="str">
        <f>IF(OR(Table1[[#This Row],[Type]]=0,Table1[[#This Row],[Type]]&gt;=40),"JA","SD")</f>
        <v>SD</v>
      </c>
      <c r="F99" t="s">
        <v>1766</v>
      </c>
      <c r="G99" s="661" t="s">
        <v>2126</v>
      </c>
      <c r="J99" s="653" t="str">
        <f>IFERROR(VLOOKUP(ROWS($J$2:J99),$A$2:$B$996,2,FALSE),"")</f>
        <v/>
      </c>
    </row>
    <row r="100" spans="1:10" x14ac:dyDescent="0.2">
      <c r="A100">
        <f>IF(ISNUMBER(SEARCH(Cover!$H$13,Table1[[#This Row],[School District]])),MAX($A$1:A99)+1,0)</f>
        <v>0</v>
      </c>
      <c r="B100" s="661" t="s">
        <v>1819</v>
      </c>
      <c r="C100" s="1599">
        <v>26062170026</v>
      </c>
      <c r="D100" s="664">
        <v>26</v>
      </c>
      <c r="E100" t="str">
        <f>IF(OR(Table1[[#This Row],[Type]]=0,Table1[[#This Row],[Type]]&gt;=40),"JA","SD")</f>
        <v>SD</v>
      </c>
      <c r="F100" t="s">
        <v>1820</v>
      </c>
      <c r="G100" s="661" t="s">
        <v>2127</v>
      </c>
      <c r="J100" s="653" t="str">
        <f>IFERROR(VLOOKUP(ROWS($J$2:J100),$A$2:$B$996,2,FALSE),"")</f>
        <v/>
      </c>
    </row>
    <row r="101" spans="1:10" x14ac:dyDescent="0.2">
      <c r="A101">
        <f>IF(ISNUMBER(SEARCH(Cover!$H$13,Table1[[#This Row],[School District]])),MAX($A$1:A100)+1,0)</f>
        <v>0</v>
      </c>
      <c r="B101" s="661" t="s">
        <v>1332</v>
      </c>
      <c r="C101" s="1599">
        <v>19022053002</v>
      </c>
      <c r="D101" s="664">
        <v>2</v>
      </c>
      <c r="E101" t="str">
        <f>IF(OR(Table1[[#This Row],[Type]]=0,Table1[[#This Row],[Type]]&gt;=40),"JA","SD")</f>
        <v>SD</v>
      </c>
      <c r="F101" t="s">
        <v>3143</v>
      </c>
      <c r="G101" s="661" t="s">
        <v>2128</v>
      </c>
      <c r="J101" s="653" t="str">
        <f>IFERROR(VLOOKUP(ROWS($J$2:J101),$A$2:$B$996,2,FALSE),"")</f>
        <v/>
      </c>
    </row>
    <row r="102" spans="1:10" x14ac:dyDescent="0.2">
      <c r="A102">
        <f>IF(ISNUMBER(SEARCH(Cover!$H$13,Table1[[#This Row],[School District]])),MAX($A$1:A101)+1,0)</f>
        <v>0</v>
      </c>
      <c r="B102" s="661" t="s">
        <v>1059</v>
      </c>
      <c r="C102" s="1599">
        <v>47071226026</v>
      </c>
      <c r="D102" s="664">
        <v>26</v>
      </c>
      <c r="E102" t="str">
        <f>IF(OR(Table1[[#This Row],[Type]]=0,Table1[[#This Row],[Type]]&gt;=40),"JA","SD")</f>
        <v>SD</v>
      </c>
      <c r="F102" t="s">
        <v>1821</v>
      </c>
      <c r="G102" s="661" t="s">
        <v>2129</v>
      </c>
      <c r="J102" s="653" t="str">
        <f>IFERROR(VLOOKUP(ROWS($J$2:J102),$A$2:$B$996,2,FALSE),"")</f>
        <v/>
      </c>
    </row>
    <row r="103" spans="1:10" x14ac:dyDescent="0.2">
      <c r="A103">
        <f>IF(ISNUMBER(SEARCH(Cover!$H$13,Table1[[#This Row],[School District]])),MAX($A$1:A102)+1,0)</f>
        <v>0</v>
      </c>
      <c r="B103" s="661" t="s">
        <v>1006</v>
      </c>
      <c r="C103" s="1599">
        <v>50082187026</v>
      </c>
      <c r="D103" s="664">
        <v>26</v>
      </c>
      <c r="E103" t="str">
        <f>IF(OR(Table1[[#This Row],[Type]]=0,Table1[[#This Row],[Type]]&gt;=40),"JA","SD")</f>
        <v>SD</v>
      </c>
      <c r="F103" t="s">
        <v>3255</v>
      </c>
      <c r="G103" s="661" t="s">
        <v>2130</v>
      </c>
      <c r="J103" s="653" t="str">
        <f>IFERROR(VLOOKUP(ROWS($J$2:J103),$A$2:$B$996,2,FALSE),"")</f>
        <v/>
      </c>
    </row>
    <row r="104" spans="1:10" x14ac:dyDescent="0.2">
      <c r="A104">
        <f>IF(ISNUMBER(SEARCH(Cover!$H$13,Table1[[#This Row],[School District]])),MAX($A$1:A103)+1,0)</f>
        <v>0</v>
      </c>
      <c r="B104" s="661" t="s">
        <v>1236</v>
      </c>
      <c r="C104" s="1599">
        <v>30002001022</v>
      </c>
      <c r="D104" s="664">
        <v>22</v>
      </c>
      <c r="E104" t="str">
        <f>IF(OR(Table1[[#This Row],[Type]]=0,Table1[[#This Row],[Type]]&gt;=40),"JA","SD")</f>
        <v>SD</v>
      </c>
      <c r="F104" t="s">
        <v>1822</v>
      </c>
      <c r="G104" s="661" t="s">
        <v>2131</v>
      </c>
      <c r="J104" s="653" t="str">
        <f>IFERROR(VLOOKUP(ROWS($J$2:J104),$A$2:$B$996,2,FALSE),"")</f>
        <v/>
      </c>
    </row>
    <row r="105" spans="1:10" x14ac:dyDescent="0.2">
      <c r="A105">
        <f>IF(ISNUMBER(SEARCH(Cover!$H$13,Table1[[#This Row],[School District]])),MAX($A$1:A104)+1,0)</f>
        <v>0</v>
      </c>
      <c r="B105" s="661" t="s">
        <v>1117</v>
      </c>
      <c r="C105" s="1599">
        <v>40007040026</v>
      </c>
      <c r="D105" s="664">
        <v>26</v>
      </c>
      <c r="E105" t="str">
        <f>IF(OR(Table1[[#This Row],[Type]]=0,Table1[[#This Row],[Type]]&gt;=40),"JA","SD")</f>
        <v>SD</v>
      </c>
      <c r="F105" t="s">
        <v>3149</v>
      </c>
      <c r="G105" s="661" t="s">
        <v>2132</v>
      </c>
      <c r="J105" s="653" t="str">
        <f>IFERROR(VLOOKUP(ROWS($J$2:J105),$A$2:$B$996,2,FALSE),"")</f>
        <v/>
      </c>
    </row>
    <row r="106" spans="1:10" x14ac:dyDescent="0.2">
      <c r="A106">
        <f>IF(ISNUMBER(SEARCH(Cover!$H$13,Table1[[#This Row],[School District]])),MAX($A$1:A105)+1,0)</f>
        <v>0</v>
      </c>
      <c r="B106" s="661" t="s">
        <v>1488</v>
      </c>
      <c r="C106" s="1599">
        <v>7016155002</v>
      </c>
      <c r="D106" s="664">
        <v>2</v>
      </c>
      <c r="E106" t="str">
        <f>IF(OR(Table1[[#This Row],[Type]]=0,Table1[[#This Row],[Type]]&gt;=40),"JA","SD")</f>
        <v>SD</v>
      </c>
      <c r="F106" t="s">
        <v>1766</v>
      </c>
      <c r="G106" s="661" t="s">
        <v>2133</v>
      </c>
      <c r="J106" s="653" t="str">
        <f>IFERROR(VLOOKUP(ROWS($J$2:J106),$A$2:$B$996,2,FALSE),"")</f>
        <v/>
      </c>
    </row>
    <row r="107" spans="1:10" x14ac:dyDescent="0.2">
      <c r="A107">
        <f>IF(ISNUMBER(SEARCH(Cover!$H$13,Table1[[#This Row],[School District]])),MAX($A$1:A106)+1,0)</f>
        <v>0</v>
      </c>
      <c r="B107" s="661" t="s">
        <v>1823</v>
      </c>
      <c r="C107" s="1599">
        <v>7016132002</v>
      </c>
      <c r="D107" s="664">
        <v>2</v>
      </c>
      <c r="E107" t="str">
        <f>IF(OR(Table1[[#This Row],[Type]]=0,Table1[[#This Row],[Type]]&gt;=40),"JA","SD")</f>
        <v>SD</v>
      </c>
      <c r="F107" t="s">
        <v>1766</v>
      </c>
      <c r="G107" s="661" t="s">
        <v>2134</v>
      </c>
      <c r="J107" s="653" t="str">
        <f>IFERROR(VLOOKUP(ROWS($J$2:J107),$A$2:$B$996,2,FALSE),"")</f>
        <v/>
      </c>
    </row>
    <row r="108" spans="1:10" x14ac:dyDescent="0.2">
      <c r="A108">
        <f>IF(ISNUMBER(SEARCH(Cover!$H$13,Table1[[#This Row],[School District]])),MAX($A$1:A107)+1,0)</f>
        <v>0</v>
      </c>
      <c r="B108" s="661" t="s">
        <v>1241</v>
      </c>
      <c r="C108" s="1599">
        <v>28037227026</v>
      </c>
      <c r="D108" s="664">
        <v>26</v>
      </c>
      <c r="E108" t="str">
        <f>IF(OR(Table1[[#This Row],[Type]]=0,Table1[[#This Row],[Type]]&gt;=40),"JA","SD")</f>
        <v>SD</v>
      </c>
      <c r="F108" t="s">
        <v>1776</v>
      </c>
      <c r="G108" s="661" t="s">
        <v>2135</v>
      </c>
      <c r="J108" s="653" t="str">
        <f>IFERROR(VLOOKUP(ROWS($J$2:J108),$A$2:$B$996,2,FALSE),"")</f>
        <v/>
      </c>
    </row>
    <row r="109" spans="1:10" ht="15" customHeight="1" x14ac:dyDescent="0.2">
      <c r="A109">
        <f>IF(ISNUMBER(SEARCH(Cover!$H$13,Table1[[#This Row],[School District]])),MAX($A$1:A108)+1,0)</f>
        <v>0</v>
      </c>
      <c r="B109" s="661" t="s">
        <v>1267</v>
      </c>
      <c r="C109" s="1599">
        <v>26029066025</v>
      </c>
      <c r="D109" s="664">
        <v>25</v>
      </c>
      <c r="E109" t="str">
        <f>IF(OR(Table1[[#This Row],[Type]]=0,Table1[[#This Row],[Type]]&gt;=40),"JA","SD")</f>
        <v>SD</v>
      </c>
      <c r="F109" t="s">
        <v>1786</v>
      </c>
      <c r="G109" s="661" t="s">
        <v>2136</v>
      </c>
      <c r="J109" s="653" t="str">
        <f>IFERROR(VLOOKUP(ROWS($J$2:J109),$A$2:$B$996,2,FALSE),"")</f>
        <v/>
      </c>
    </row>
    <row r="110" spans="1:10" x14ac:dyDescent="0.2">
      <c r="A110">
        <f>IF(ISNUMBER(SEARCH(Cover!$H$13,Table1[[#This Row],[School District]])),MAX($A$1:A109)+1,0)</f>
        <v>0</v>
      </c>
      <c r="B110" t="s">
        <v>1725</v>
      </c>
      <c r="C110" s="1599">
        <v>51084790040</v>
      </c>
      <c r="D110" s="664">
        <v>40</v>
      </c>
      <c r="E110" t="str">
        <f>IF(OR(Table1[[#This Row],[Type]]=0,Table1[[#This Row],[Type]]&gt;=40),"JA","SD")</f>
        <v>JA</v>
      </c>
      <c r="F110" t="s">
        <v>1788</v>
      </c>
      <c r="G110" s="661" t="s">
        <v>2137</v>
      </c>
      <c r="J110" s="653" t="str">
        <f>IFERROR(VLOOKUP(ROWS($J$2:J110),$A$2:$B$996,2,FALSE),"")</f>
        <v/>
      </c>
    </row>
    <row r="111" spans="1:10" x14ac:dyDescent="0.2">
      <c r="A111">
        <f>IF(ISNUMBER(SEARCH(Cover!$H$13,Table1[[#This Row],[School District]])),MAX($A$1:A110)+1,0)</f>
        <v>0</v>
      </c>
      <c r="B111" s="661" t="s">
        <v>1031</v>
      </c>
      <c r="C111" s="1599">
        <v>49081036002</v>
      </c>
      <c r="D111" s="664">
        <v>2</v>
      </c>
      <c r="E111" t="str">
        <f>IF(OR(Table1[[#This Row],[Type]]=0,Table1[[#This Row],[Type]]&gt;=40),"JA","SD")</f>
        <v>SD</v>
      </c>
      <c r="F111" t="s">
        <v>1800</v>
      </c>
      <c r="G111" s="661" t="s">
        <v>2138</v>
      </c>
      <c r="J111" s="653" t="str">
        <f>IFERROR(VLOOKUP(ROWS($J$2:J111),$A$2:$B$996,2,FALSE),"")</f>
        <v/>
      </c>
    </row>
    <row r="112" spans="1:10" x14ac:dyDescent="0.2">
      <c r="A112">
        <f>IF(ISNUMBER(SEARCH(Cover!$H$13,Table1[[#This Row],[School District]])),MAX($A$1:A111)+1,0)</f>
        <v>0</v>
      </c>
      <c r="B112" s="661" t="s">
        <v>1231</v>
      </c>
      <c r="C112" s="1599">
        <v>30039165016</v>
      </c>
      <c r="D112" s="664">
        <v>16</v>
      </c>
      <c r="E112" t="str">
        <f>IF(OR(Table1[[#This Row],[Type]]=0,Table1[[#This Row],[Type]]&gt;=40),"JA","SD")</f>
        <v>SD</v>
      </c>
      <c r="F112" t="s">
        <v>3150</v>
      </c>
      <c r="G112" s="661" t="s">
        <v>2139</v>
      </c>
      <c r="J112" s="653" t="str">
        <f>IFERROR(VLOOKUP(ROWS($J$2:J112),$A$2:$B$996,2,FALSE),"")</f>
        <v/>
      </c>
    </row>
    <row r="113" spans="1:10" ht="15" customHeight="1" x14ac:dyDescent="0.2">
      <c r="A113">
        <f>IF(ISNUMBER(SEARCH(Cover!$H$13,Table1[[#This Row],[School District]])),MAX($A$1:A112)+1,0)</f>
        <v>0</v>
      </c>
      <c r="B113" s="661" t="s">
        <v>1234</v>
      </c>
      <c r="C113" s="1599">
        <v>30039095002</v>
      </c>
      <c r="D113" s="664">
        <v>2</v>
      </c>
      <c r="E113" t="str">
        <f>IF(OR(Table1[[#This Row],[Type]]=0,Table1[[#This Row],[Type]]&gt;=40),"JA","SD")</f>
        <v>SD</v>
      </c>
      <c r="F113" t="s">
        <v>1824</v>
      </c>
      <c r="G113" s="661" t="s">
        <v>2140</v>
      </c>
      <c r="J113" s="653" t="str">
        <f>IFERROR(VLOOKUP(ROWS($J$2:J113),$A$2:$B$996,2,FALSE),"")</f>
        <v/>
      </c>
    </row>
    <row r="114" spans="1:10" ht="15" customHeight="1" x14ac:dyDescent="0.2">
      <c r="A114">
        <f>IF(ISNUMBER(SEARCH(Cover!$H$13,Table1[[#This Row],[School District]])),MAX($A$1:A113)+1,0)</f>
        <v>0</v>
      </c>
      <c r="B114" t="s">
        <v>1825</v>
      </c>
      <c r="C114" s="1599">
        <v>45000000040</v>
      </c>
      <c r="D114" s="664">
        <v>40</v>
      </c>
      <c r="E114" t="str">
        <f>IF(OR(Table1[[#This Row],[Type]]=0,Table1[[#This Row],[Type]]&gt;=40),"JA","SD")</f>
        <v>JA</v>
      </c>
      <c r="F114" t="s">
        <v>1826</v>
      </c>
      <c r="G114" s="661" t="s">
        <v>2141</v>
      </c>
      <c r="J114" s="653" t="str">
        <f>IFERROR(VLOOKUP(ROWS($J$2:J114),$A$2:$B$996,2,FALSE),"")</f>
        <v/>
      </c>
    </row>
    <row r="115" spans="1:10" ht="15" customHeight="1" x14ac:dyDescent="0.2">
      <c r="A115">
        <f>IF(ISNUMBER(SEARCH(Cover!$H$13,Table1[[#This Row],[School District]])),MAX($A$1:A114)+1,0)</f>
        <v>0</v>
      </c>
      <c r="B115" t="s">
        <v>1651</v>
      </c>
      <c r="C115" s="1599">
        <v>7016228046</v>
      </c>
      <c r="D115" s="664">
        <v>46</v>
      </c>
      <c r="E115" t="str">
        <f>IF(OR(Table1[[#This Row],[Type]]=0,Table1[[#This Row],[Type]]&gt;=40),"JA","SD")</f>
        <v>JA</v>
      </c>
      <c r="F115" t="s">
        <v>1766</v>
      </c>
      <c r="G115" s="661" t="s">
        <v>2142</v>
      </c>
      <c r="J115" s="653" t="str">
        <f>IFERROR(VLOOKUP(ROWS($J$2:J115),$A$2:$B$996,2,FALSE),"")</f>
        <v/>
      </c>
    </row>
    <row r="116" spans="1:10" ht="15" customHeight="1" x14ac:dyDescent="0.2">
      <c r="A116">
        <f>IF(ISNUMBER(SEARCH(Cover!$H$13,Table1[[#This Row],[School District]])),MAX($A$1:A115)+1,0)</f>
        <v>0</v>
      </c>
      <c r="B116" t="s">
        <v>1827</v>
      </c>
      <c r="C116" s="1599">
        <v>4000000046</v>
      </c>
      <c r="D116" s="664">
        <v>46</v>
      </c>
      <c r="E116" t="str">
        <f>IF(OR(Table1[[#This Row],[Type]]=0,Table1[[#This Row],[Type]]&gt;=40),"JA","SD")</f>
        <v>JA</v>
      </c>
      <c r="F116" t="s">
        <v>3151</v>
      </c>
      <c r="G116" s="661" t="s">
        <v>2143</v>
      </c>
      <c r="J116" s="653" t="str">
        <f>IFERROR(VLOOKUP(ROWS($J$2:J116),$A$2:$B$996,2,FALSE),"")</f>
        <v/>
      </c>
    </row>
    <row r="117" spans="1:10" x14ac:dyDescent="0.2">
      <c r="A117">
        <f>IF(ISNUMBER(SEARCH(Cover!$H$13,Table1[[#This Row],[School District]])),MAX($A$1:A116)+1,0)</f>
        <v>0</v>
      </c>
      <c r="B117" t="s">
        <v>1652</v>
      </c>
      <c r="C117" s="1599">
        <v>7016790045</v>
      </c>
      <c r="D117" s="664">
        <v>45</v>
      </c>
      <c r="E117" t="str">
        <f>IF(OR(Table1[[#This Row],[Type]]=0,Table1[[#This Row],[Type]]&gt;=40),"JA","SD")</f>
        <v>JA</v>
      </c>
      <c r="F117" t="s">
        <v>1766</v>
      </c>
      <c r="G117" s="661" t="s">
        <v>2144</v>
      </c>
      <c r="J117" s="653" t="str">
        <f>IFERROR(VLOOKUP(ROWS($J$2:J117),$A$2:$B$996,2,FALSE),"")</f>
        <v/>
      </c>
    </row>
    <row r="118" spans="1:10" x14ac:dyDescent="0.2">
      <c r="A118">
        <f>IF(ISNUMBER(SEARCH(Cover!$H$13,Table1[[#This Row],[School District]])),MAX($A$1:A117)+1,0)</f>
        <v>0</v>
      </c>
      <c r="B118" s="661" t="s">
        <v>1111</v>
      </c>
      <c r="C118" s="1599">
        <v>40056001026</v>
      </c>
      <c r="D118" s="664">
        <v>26</v>
      </c>
      <c r="E118" t="str">
        <f>IF(OR(Table1[[#This Row],[Type]]=0,Table1[[#This Row],[Type]]&gt;=40),"JA","SD")</f>
        <v>SD</v>
      </c>
      <c r="F118" t="s">
        <v>1817</v>
      </c>
      <c r="G118" s="661" t="s">
        <v>2145</v>
      </c>
      <c r="J118" s="653" t="str">
        <f>IFERROR(VLOOKUP(ROWS($J$2:J118),$A$2:$B$996,2,FALSE),"")</f>
        <v/>
      </c>
    </row>
    <row r="119" spans="1:10" x14ac:dyDescent="0.2">
      <c r="A119">
        <f>IF(ISNUMBER(SEARCH(Cover!$H$13,Table1[[#This Row],[School District]])),MAX($A$1:A118)+1,0)</f>
        <v>0</v>
      </c>
      <c r="B119" s="661" t="s">
        <v>1414</v>
      </c>
      <c r="C119" s="1599">
        <v>13014001026</v>
      </c>
      <c r="D119" s="664">
        <v>26</v>
      </c>
      <c r="E119" t="str">
        <f>IF(OR(Table1[[#This Row],[Type]]=0,Table1[[#This Row],[Type]]&gt;=40),"JA","SD")</f>
        <v>SD</v>
      </c>
      <c r="F119" t="s">
        <v>1768</v>
      </c>
      <c r="G119" s="661" t="s">
        <v>2146</v>
      </c>
      <c r="J119" s="653" t="str">
        <f>IFERROR(VLOOKUP(ROWS($J$2:J119),$A$2:$B$996,2,FALSE),"")</f>
        <v/>
      </c>
    </row>
    <row r="120" spans="1:10" x14ac:dyDescent="0.2">
      <c r="A120">
        <f>IF(ISNUMBER(SEARCH(Cover!$H$13,Table1[[#This Row],[School District]])),MAX($A$1:A119)+1,0)</f>
        <v>0</v>
      </c>
      <c r="B120" s="661" t="s">
        <v>1829</v>
      </c>
      <c r="C120" s="1599">
        <v>20097005026</v>
      </c>
      <c r="D120" s="664">
        <v>26</v>
      </c>
      <c r="E120" t="str">
        <f>IF(OR(Table1[[#This Row],[Type]]=0,Table1[[#This Row],[Type]]&gt;=40),"JA","SD")</f>
        <v>SD</v>
      </c>
      <c r="F120" t="s">
        <v>1830</v>
      </c>
      <c r="G120" s="661" t="s">
        <v>2147</v>
      </c>
      <c r="J120" s="653" t="str">
        <f>IFERROR(VLOOKUP(ROWS($J$2:J120),$A$2:$B$996,2,FALSE),"")</f>
        <v/>
      </c>
    </row>
    <row r="121" spans="1:10" x14ac:dyDescent="0.2">
      <c r="A121">
        <f>IF(ISNUMBER(SEARCH(Cover!$H$13,Table1[[#This Row],[School District]])),MAX($A$1:A120)+1,0)</f>
        <v>0</v>
      </c>
      <c r="B121" s="661" t="s">
        <v>1312</v>
      </c>
      <c r="C121" s="1599">
        <v>20083002026</v>
      </c>
      <c r="D121" s="664">
        <v>26</v>
      </c>
      <c r="E121" t="str">
        <f>IF(OR(Table1[[#This Row],[Type]]=0,Table1[[#This Row],[Type]]&gt;=40),"JA","SD")</f>
        <v>SD</v>
      </c>
      <c r="F121" t="s">
        <v>1831</v>
      </c>
      <c r="G121" s="661" t="s">
        <v>2148</v>
      </c>
      <c r="J121" s="653" t="str">
        <f>IFERROR(VLOOKUP(ROWS($J$2:J121),$A$2:$B$996,2,FALSE),"")</f>
        <v/>
      </c>
    </row>
    <row r="122" spans="1:10" x14ac:dyDescent="0.2">
      <c r="A122">
        <f>IF(ISNUMBER(SEARCH(Cover!$H$13,Table1[[#This Row],[School District]])),MAX($A$1:A121)+1,0)</f>
        <v>0</v>
      </c>
      <c r="B122" s="661" t="s">
        <v>1115</v>
      </c>
      <c r="C122" s="1599">
        <v>40031001026</v>
      </c>
      <c r="D122" s="664">
        <v>26</v>
      </c>
      <c r="E122" t="str">
        <f>IF(OR(Table1[[#This Row],[Type]]=0,Table1[[#This Row],[Type]]&gt;=40),"JA","SD")</f>
        <v>SD</v>
      </c>
      <c r="F122" t="s">
        <v>1832</v>
      </c>
      <c r="G122" s="661" t="s">
        <v>2149</v>
      </c>
      <c r="J122" s="653" t="str">
        <f>IFERROR(VLOOKUP(ROWS($J$2:J122),$A$2:$B$996,2,FALSE),"")</f>
        <v/>
      </c>
    </row>
    <row r="123" spans="1:10" x14ac:dyDescent="0.2">
      <c r="A123">
        <f>IF(ISNUMBER(SEARCH(Cover!$H$13,Table1[[#This Row],[School District]])),MAX($A$1:A122)+1,0)</f>
        <v>0</v>
      </c>
      <c r="B123" s="661" t="s">
        <v>1281</v>
      </c>
      <c r="C123" s="1599">
        <v>21100005026</v>
      </c>
      <c r="D123" s="664">
        <v>26</v>
      </c>
      <c r="E123" t="str">
        <f>IF(OR(Table1[[#This Row],[Type]]=0,Table1[[#This Row],[Type]]&gt;=40),"JA","SD")</f>
        <v>SD</v>
      </c>
      <c r="F123" t="s">
        <v>1833</v>
      </c>
      <c r="G123" s="661" t="s">
        <v>2150</v>
      </c>
      <c r="J123" s="653" t="str">
        <f>IFERROR(VLOOKUP(ROWS($J$2:J123),$A$2:$B$996,2,FALSE),"")</f>
        <v/>
      </c>
    </row>
    <row r="124" spans="1:10" x14ac:dyDescent="0.2">
      <c r="A124">
        <f>IF(ISNUMBER(SEARCH(Cover!$H$13,Table1[[#This Row],[School District]])),MAX($A$1:A123)+1,0)</f>
        <v>0</v>
      </c>
      <c r="B124" s="661" t="s">
        <v>1264</v>
      </c>
      <c r="C124" s="1599">
        <v>26034317004</v>
      </c>
      <c r="D124" s="664">
        <v>4</v>
      </c>
      <c r="E124" t="str">
        <f>IF(OR(Table1[[#This Row],[Type]]=0,Table1[[#This Row],[Type]]&gt;=40),"JA","SD")</f>
        <v>SD</v>
      </c>
      <c r="F124" t="s">
        <v>1834</v>
      </c>
      <c r="G124" s="661" t="s">
        <v>2151</v>
      </c>
      <c r="J124" s="653" t="str">
        <f>IFERROR(VLOOKUP(ROWS($J$2:J124),$A$2:$B$996,2,FALSE),"")</f>
        <v/>
      </c>
    </row>
    <row r="125" spans="1:10" x14ac:dyDescent="0.2">
      <c r="A125">
        <f>IF(ISNUMBER(SEARCH(Cover!$H$13,Table1[[#This Row],[School District]])),MAX($A$1:A124)+1,0)</f>
        <v>0</v>
      </c>
      <c r="B125" s="661" t="s">
        <v>1087</v>
      </c>
      <c r="C125" s="1599">
        <v>44063026004</v>
      </c>
      <c r="D125" s="664">
        <v>4</v>
      </c>
      <c r="E125" t="str">
        <f>IF(OR(Table1[[#This Row],[Type]]=0,Table1[[#This Row],[Type]]&gt;=40),"JA","SD")</f>
        <v>SD</v>
      </c>
      <c r="F125" t="s">
        <v>3152</v>
      </c>
      <c r="G125" s="661" t="s">
        <v>2152</v>
      </c>
      <c r="J125" s="653" t="str">
        <f>IFERROR(VLOOKUP(ROWS($J$2:J125),$A$2:$B$996,2,FALSE),"")</f>
        <v/>
      </c>
    </row>
    <row r="126" spans="1:10" x14ac:dyDescent="0.2">
      <c r="A126">
        <f>IF(ISNUMBER(SEARCH(Cover!$H$13,Table1[[#This Row],[School District]])),MAX($A$1:A125)+1,0)</f>
        <v>0</v>
      </c>
      <c r="B126" s="661" t="s">
        <v>933</v>
      </c>
      <c r="C126" s="1599" t="s">
        <v>934</v>
      </c>
      <c r="D126" s="664">
        <v>26</v>
      </c>
      <c r="E126" t="str">
        <f>IF(OR(Table1[[#This Row],[Type]]=0,Table1[[#This Row],[Type]]&gt;=40),"JA","SD")</f>
        <v>SD</v>
      </c>
      <c r="F126" t="s">
        <v>1835</v>
      </c>
      <c r="G126" s="661" t="s">
        <v>2153</v>
      </c>
      <c r="J126" s="653" t="str">
        <f>IFERROR(VLOOKUP(ROWS($J$2:J126),$A$2:$B$996,2,FALSE),"")</f>
        <v/>
      </c>
    </row>
    <row r="127" spans="1:10" x14ac:dyDescent="0.2">
      <c r="A127">
        <f>IF(ISNUMBER(SEARCH(Cover!$H$13,Table1[[#This Row],[School District]])),MAX($A$1:A126)+1,0)</f>
        <v>0</v>
      </c>
      <c r="B127" s="661" t="s">
        <v>1328</v>
      </c>
      <c r="C127" s="1599">
        <v>19022063002</v>
      </c>
      <c r="D127" s="664">
        <v>2</v>
      </c>
      <c r="E127" t="str">
        <f>IF(OR(Table1[[#This Row],[Type]]=0,Table1[[#This Row],[Type]]&gt;=40),"JA","SD")</f>
        <v>SD</v>
      </c>
      <c r="F127" t="s">
        <v>3143</v>
      </c>
      <c r="G127" s="661" t="s">
        <v>2154</v>
      </c>
      <c r="J127" s="653" t="str">
        <f>IFERROR(VLOOKUP(ROWS($J$2:J127),$A$2:$B$996,2,FALSE),"")</f>
        <v/>
      </c>
    </row>
    <row r="128" spans="1:10" x14ac:dyDescent="0.2">
      <c r="A128">
        <f>IF(ISNUMBER(SEARCH(Cover!$H$13,Table1[[#This Row],[School District]])),MAX($A$1:A127)+1,0)</f>
        <v>0</v>
      </c>
      <c r="B128" s="661" t="s">
        <v>1499</v>
      </c>
      <c r="C128" s="1599">
        <v>7016146004</v>
      </c>
      <c r="D128" s="664">
        <v>4</v>
      </c>
      <c r="E128" t="str">
        <f>IF(OR(Table1[[#This Row],[Type]]=0,Table1[[#This Row],[Type]]&gt;=40),"JA","SD")</f>
        <v>SD</v>
      </c>
      <c r="F128" t="s">
        <v>1766</v>
      </c>
      <c r="G128" s="661" t="s">
        <v>2155</v>
      </c>
      <c r="J128" s="653" t="str">
        <f>IFERROR(VLOOKUP(ROWS($J$2:J128),$A$2:$B$996,2,FALSE),"")</f>
        <v/>
      </c>
    </row>
    <row r="129" spans="1:10" x14ac:dyDescent="0.2">
      <c r="A129">
        <f>IF(ISNUMBER(SEARCH(Cover!$H$13,Table1[[#This Row],[School District]])),MAX($A$1:A128)+1,0)</f>
        <v>0</v>
      </c>
      <c r="B129" s="661" t="s">
        <v>1478</v>
      </c>
      <c r="C129" s="1599">
        <v>7016168004</v>
      </c>
      <c r="D129" s="664">
        <v>4</v>
      </c>
      <c r="E129" t="str">
        <f>IF(OR(Table1[[#This Row],[Type]]=0,Table1[[#This Row],[Type]]&gt;=40),"JA","SD")</f>
        <v>SD</v>
      </c>
      <c r="F129" t="s">
        <v>1766</v>
      </c>
      <c r="G129" s="661" t="s">
        <v>2156</v>
      </c>
      <c r="J129" s="653" t="str">
        <f>IFERROR(VLOOKUP(ROWS($J$2:J129),$A$2:$B$996,2,FALSE),"")</f>
        <v/>
      </c>
    </row>
    <row r="130" spans="1:10" x14ac:dyDescent="0.2">
      <c r="A130">
        <f>IF(ISNUMBER(SEARCH(Cover!$H$13,Table1[[#This Row],[School District]])),MAX($A$1:A129)+1,0)</f>
        <v>0</v>
      </c>
      <c r="B130" s="661" t="s">
        <v>1836</v>
      </c>
      <c r="C130" s="1599">
        <v>19022180004</v>
      </c>
      <c r="D130" s="664">
        <v>4</v>
      </c>
      <c r="E130" t="str">
        <f>IF(OR(Table1[[#This Row],[Type]]=0,Table1[[#This Row],[Type]]&gt;=40),"JA","SD")</f>
        <v>SD</v>
      </c>
      <c r="F130" t="s">
        <v>3143</v>
      </c>
      <c r="G130" s="661" t="s">
        <v>2157</v>
      </c>
      <c r="J130" s="653" t="str">
        <f>IFERROR(VLOOKUP(ROWS($J$2:J130),$A$2:$B$996,2,FALSE),"")</f>
        <v/>
      </c>
    </row>
    <row r="131" spans="1:10" x14ac:dyDescent="0.2">
      <c r="A131">
        <f>IF(ISNUMBER(SEARCH(Cover!$H$13,Table1[[#This Row],[School District]])),MAX($A$1:A130)+1,0)</f>
        <v>0</v>
      </c>
      <c r="B131" s="661" t="s">
        <v>1227</v>
      </c>
      <c r="C131" s="1599">
        <v>30073204004</v>
      </c>
      <c r="D131" s="664">
        <v>4</v>
      </c>
      <c r="E131" t="str">
        <f>IF(OR(Table1[[#This Row],[Type]]=0,Table1[[#This Row],[Type]]&gt;=40),"JA","SD")</f>
        <v>SD</v>
      </c>
      <c r="F131" t="s">
        <v>1837</v>
      </c>
      <c r="G131" s="661" t="s">
        <v>2158</v>
      </c>
      <c r="J131" s="653" t="str">
        <f>IFERROR(VLOOKUP(ROWS($J$2:J131),$A$2:$B$996,2,FALSE),"")</f>
        <v/>
      </c>
    </row>
    <row r="132" spans="1:10" x14ac:dyDescent="0.2">
      <c r="A132">
        <f>IF(ISNUMBER(SEARCH(Cover!$H$13,Table1[[#This Row],[School District]])),MAX($A$1:A131)+1,0)</f>
        <v>0</v>
      </c>
      <c r="B132" s="661" t="s">
        <v>1838</v>
      </c>
      <c r="C132" s="1599">
        <v>5016062004</v>
      </c>
      <c r="D132" s="664">
        <v>4</v>
      </c>
      <c r="E132" t="str">
        <f>IF(OR(Table1[[#This Row],[Type]]=0,Table1[[#This Row],[Type]]&gt;=40),"JA","SD")</f>
        <v>SD</v>
      </c>
      <c r="F132" t="s">
        <v>1766</v>
      </c>
      <c r="G132" s="661" t="s">
        <v>2159</v>
      </c>
      <c r="J132" s="653" t="str">
        <f>IFERROR(VLOOKUP(ROWS($J$2:J132),$A$2:$B$996,2,FALSE),"")</f>
        <v/>
      </c>
    </row>
    <row r="133" spans="1:10" x14ac:dyDescent="0.2">
      <c r="A133">
        <f>IF(ISNUMBER(SEARCH(Cover!$H$13,Table1[[#This Row],[School District]])),MAX($A$1:A132)+1,0)</f>
        <v>0</v>
      </c>
      <c r="B133" s="661" t="s">
        <v>1324</v>
      </c>
      <c r="C133" s="1599">
        <v>19022089004</v>
      </c>
      <c r="D133" s="664">
        <v>4</v>
      </c>
      <c r="E133" t="str">
        <f>IF(OR(Table1[[#This Row],[Type]]=0,Table1[[#This Row],[Type]]&gt;=40),"JA","SD")</f>
        <v>SD</v>
      </c>
      <c r="F133" t="s">
        <v>3143</v>
      </c>
      <c r="G133" s="661" t="s">
        <v>2160</v>
      </c>
      <c r="J133" s="653" t="str">
        <f>IFERROR(VLOOKUP(ROWS($J$2:J133),$A$2:$B$996,2,FALSE),"")</f>
        <v/>
      </c>
    </row>
    <row r="134" spans="1:10" x14ac:dyDescent="0.2">
      <c r="A134">
        <f>IF(ISNUMBER(SEARCH(Cover!$H$13,Table1[[#This Row],[School District]])),MAX($A$1:A133)+1,0)</f>
        <v>0</v>
      </c>
      <c r="B134" s="661" t="s">
        <v>1323</v>
      </c>
      <c r="C134" s="1599">
        <v>19022093004</v>
      </c>
      <c r="D134" s="664">
        <v>4</v>
      </c>
      <c r="E134" t="str">
        <f>IF(OR(Table1[[#This Row],[Type]]=0,Table1[[#This Row],[Type]]&gt;=40),"JA","SD")</f>
        <v>SD</v>
      </c>
      <c r="F134" t="s">
        <v>3143</v>
      </c>
      <c r="G134" s="661" t="s">
        <v>2161</v>
      </c>
      <c r="J134" s="653" t="str">
        <f>IFERROR(VLOOKUP(ROWS($J$2:J134),$A$2:$B$996,2,FALSE),"")</f>
        <v/>
      </c>
    </row>
    <row r="135" spans="1:10" x14ac:dyDescent="0.2">
      <c r="A135">
        <f>IF(ISNUMBER(SEARCH(Cover!$H$13,Table1[[#This Row],[School District]])),MAX($A$1:A134)+1,0)</f>
        <v>0</v>
      </c>
      <c r="B135" s="661" t="s">
        <v>1839</v>
      </c>
      <c r="C135" s="1599">
        <v>19022066002</v>
      </c>
      <c r="D135" s="664">
        <v>2</v>
      </c>
      <c r="E135" t="str">
        <f>IF(OR(Table1[[#This Row],[Type]]=0,Table1[[#This Row],[Type]]&gt;=40),"JA","SD")</f>
        <v>SD</v>
      </c>
      <c r="F135" t="s">
        <v>3143</v>
      </c>
      <c r="G135" s="661" t="s">
        <v>2162</v>
      </c>
      <c r="J135" s="653" t="str">
        <f>IFERROR(VLOOKUP(ROWS($J$2:J135),$A$2:$B$996,2,FALSE),"")</f>
        <v/>
      </c>
    </row>
    <row r="136" spans="1:10" x14ac:dyDescent="0.2">
      <c r="A136">
        <f>IF(ISNUMBER(SEARCH(Cover!$H$13,Table1[[#This Row],[School District]])),MAX($A$1:A135)+1,0)</f>
        <v>0</v>
      </c>
      <c r="B136" s="661" t="s">
        <v>1840</v>
      </c>
      <c r="C136" s="1599">
        <v>11087021026</v>
      </c>
      <c r="D136" s="664">
        <v>26</v>
      </c>
      <c r="E136" t="str">
        <f>IF(OR(Table1[[#This Row],[Type]]=0,Table1[[#This Row],[Type]]&gt;=40),"JA","SD")</f>
        <v>SD</v>
      </c>
      <c r="F136" t="s">
        <v>3153</v>
      </c>
      <c r="G136" s="661" t="s">
        <v>2163</v>
      </c>
      <c r="J136" s="653" t="str">
        <f>IFERROR(VLOOKUP(ROWS($J$2:J136),$A$2:$B$996,2,FALSE),"")</f>
        <v/>
      </c>
    </row>
    <row r="137" spans="1:10" x14ac:dyDescent="0.2">
      <c r="A137">
        <f>IF(ISNUMBER(SEARCH(Cover!$H$13,Table1[[#This Row],[School District]])),MAX($A$1:A136)+1,0)</f>
        <v>0</v>
      </c>
      <c r="B137" s="661" t="s">
        <v>1407</v>
      </c>
      <c r="C137" s="1599">
        <v>13014071016</v>
      </c>
      <c r="D137" s="664">
        <v>16</v>
      </c>
      <c r="E137" t="str">
        <f>IF(OR(Table1[[#This Row],[Type]]=0,Table1[[#This Row],[Type]]&gt;=40),"JA","SD")</f>
        <v>SD</v>
      </c>
      <c r="F137" t="s">
        <v>1768</v>
      </c>
      <c r="G137" s="661" t="s">
        <v>2164</v>
      </c>
      <c r="J137" s="653" t="str">
        <f>IFERROR(VLOOKUP(ROWS($J$2:J137),$A$2:$B$996,2,FALSE),"")</f>
        <v/>
      </c>
    </row>
    <row r="138" spans="1:10" x14ac:dyDescent="0.2">
      <c r="A138">
        <f>IF(ISNUMBER(SEARCH(Cover!$H$13,Table1[[#This Row],[School District]])),MAX($A$1:A137)+1,0)</f>
        <v>0</v>
      </c>
      <c r="B138" s="661" t="s">
        <v>1390</v>
      </c>
      <c r="C138" s="1599">
        <v>13058133002</v>
      </c>
      <c r="D138" s="664">
        <v>2</v>
      </c>
      <c r="E138" t="str">
        <f>IF(OR(Table1[[#This Row],[Type]]=0,Table1[[#This Row],[Type]]&gt;=40),"JA","SD")</f>
        <v>SD</v>
      </c>
      <c r="F138" t="s">
        <v>1842</v>
      </c>
      <c r="G138" s="661" t="s">
        <v>2165</v>
      </c>
      <c r="J138" s="653" t="str">
        <f>IFERROR(VLOOKUP(ROWS($J$2:J138),$A$2:$B$996,2,FALSE),"")</f>
        <v/>
      </c>
    </row>
    <row r="139" spans="1:10" x14ac:dyDescent="0.2">
      <c r="A139">
        <f>IF(ISNUMBER(SEARCH(Cover!$H$13,Table1[[#This Row],[School District]])),MAX($A$1:A138)+1,0)</f>
        <v>0</v>
      </c>
      <c r="B139" s="661" t="s">
        <v>1630</v>
      </c>
      <c r="C139" s="1599">
        <v>1001003026</v>
      </c>
      <c r="D139" s="664">
        <v>26</v>
      </c>
      <c r="E139" t="str">
        <f>IF(OR(Table1[[#This Row],[Type]]=0,Table1[[#This Row],[Type]]&gt;=40),"JA","SD")</f>
        <v>SD</v>
      </c>
      <c r="F139" t="s">
        <v>1843</v>
      </c>
      <c r="G139" s="661" t="s">
        <v>2166</v>
      </c>
      <c r="J139" s="653" t="str">
        <f>IFERROR(VLOOKUP(ROWS($J$2:J139),$A$2:$B$996,2,FALSE),"")</f>
        <v/>
      </c>
    </row>
    <row r="140" spans="1:10" x14ac:dyDescent="0.2">
      <c r="A140">
        <f>IF(ISNUMBER(SEARCH(Cover!$H$13,Table1[[#This Row],[School District]])),MAX($A$1:A139)+1,0)</f>
        <v>0</v>
      </c>
      <c r="B140" s="661" t="s">
        <v>1215</v>
      </c>
      <c r="C140" s="1599">
        <v>31045301026</v>
      </c>
      <c r="D140" s="664">
        <v>26</v>
      </c>
      <c r="E140" t="str">
        <f>IF(OR(Table1[[#This Row],[Type]]=0,Table1[[#This Row],[Type]]&gt;=40),"JA","SD")</f>
        <v>SD</v>
      </c>
      <c r="F140" t="s">
        <v>3154</v>
      </c>
      <c r="G140" s="661" t="s">
        <v>2167</v>
      </c>
      <c r="J140" s="653" t="str">
        <f>IFERROR(VLOOKUP(ROWS($J$2:J140),$A$2:$B$996,2,FALSE),"")</f>
        <v/>
      </c>
    </row>
    <row r="141" spans="1:10" x14ac:dyDescent="0.2">
      <c r="A141">
        <f>IF(ISNUMBER(SEARCH(Cover!$H$13,Table1[[#This Row],[School District]])),MAX($A$1:A140)+1,0)</f>
        <v>0</v>
      </c>
      <c r="B141" s="661" t="s">
        <v>1210</v>
      </c>
      <c r="C141" s="1599">
        <v>32038004026</v>
      </c>
      <c r="D141" s="664">
        <v>26</v>
      </c>
      <c r="E141" t="str">
        <f>IF(OR(Table1[[#This Row],[Type]]=0,Table1[[#This Row],[Type]]&gt;=40),"JA","SD")</f>
        <v>SD</v>
      </c>
      <c r="F141" t="s">
        <v>3155</v>
      </c>
      <c r="G141" s="661" t="s">
        <v>2168</v>
      </c>
      <c r="J141" s="653" t="str">
        <f>IFERROR(VLOOKUP(ROWS($J$2:J141),$A$2:$B$996,2,FALSE),"")</f>
        <v/>
      </c>
    </row>
    <row r="142" spans="1:10" ht="15" customHeight="1" x14ac:dyDescent="0.2">
      <c r="A142">
        <f>IF(ISNUMBER(SEARCH(Cover!$H$13,Table1[[#This Row],[School District]])),MAX($A$1:A141)+1,0)</f>
        <v>0</v>
      </c>
      <c r="B142" t="s">
        <v>1710</v>
      </c>
      <c r="C142" s="1599">
        <v>40000000046</v>
      </c>
      <c r="D142" s="664">
        <v>46</v>
      </c>
      <c r="E142" t="str">
        <f>IF(OR(Table1[[#This Row],[Type]]=0,Table1[[#This Row],[Type]]&gt;=40),"JA","SD")</f>
        <v>JA</v>
      </c>
      <c r="F142" t="s">
        <v>1845</v>
      </c>
      <c r="G142" s="661" t="s">
        <v>2169</v>
      </c>
      <c r="J142" s="653" t="str">
        <f>IFERROR(VLOOKUP(ROWS($J$2:J142),$A$2:$B$996,2,FALSE),"")</f>
        <v/>
      </c>
    </row>
    <row r="143" spans="1:10" ht="15" customHeight="1" x14ac:dyDescent="0.2">
      <c r="A143">
        <f>IF(ISNUMBER(SEARCH(Cover!$H$13,Table1[[#This Row],[School District]])),MAX($A$1:A142)+1,0)</f>
        <v>0</v>
      </c>
      <c r="B143" t="s">
        <v>1727</v>
      </c>
      <c r="C143" s="1599">
        <v>53102721045</v>
      </c>
      <c r="D143" s="664">
        <v>45</v>
      </c>
      <c r="E143" t="str">
        <f>IF(OR(Table1[[#This Row],[Type]]=0,Table1[[#This Row],[Type]]&gt;=40),"JA","SD")</f>
        <v>JA</v>
      </c>
      <c r="F143" t="s">
        <v>3256</v>
      </c>
      <c r="G143" s="661" t="s">
        <v>2170</v>
      </c>
      <c r="J143" s="653" t="str">
        <f>IFERROR(VLOOKUP(ROWS($J$2:J143),$A$2:$B$996,2,FALSE),"")</f>
        <v/>
      </c>
    </row>
    <row r="144" spans="1:10" x14ac:dyDescent="0.2">
      <c r="A144">
        <f>IF(ISNUMBER(SEARCH(Cover!$H$13,Table1[[#This Row],[School District]])),MAX($A$1:A143)+1,0)</f>
        <v>0</v>
      </c>
      <c r="B144" s="661" t="s">
        <v>1017</v>
      </c>
      <c r="C144" s="1599">
        <v>50082104002</v>
      </c>
      <c r="D144" s="664">
        <v>2</v>
      </c>
      <c r="E144" t="str">
        <f>IF(OR(Table1[[#This Row],[Type]]=0,Table1[[#This Row],[Type]]&gt;=40),"JA","SD")</f>
        <v>SD</v>
      </c>
      <c r="F144" t="s">
        <v>3134</v>
      </c>
      <c r="G144" s="661" t="s">
        <v>2171</v>
      </c>
      <c r="J144" s="653" t="str">
        <f>IFERROR(VLOOKUP(ROWS($J$2:J144),$A$2:$B$996,2,FALSE),"")</f>
        <v/>
      </c>
    </row>
    <row r="145" spans="1:10" x14ac:dyDescent="0.2">
      <c r="A145">
        <f>IF(ISNUMBER(SEARCH(Cover!$H$13,Table1[[#This Row],[School District]])),MAX($A$1:A144)+1,0)</f>
        <v>0</v>
      </c>
      <c r="B145" s="661" t="s">
        <v>986</v>
      </c>
      <c r="C145" s="1599">
        <v>53090051002</v>
      </c>
      <c r="D145" s="664">
        <v>2</v>
      </c>
      <c r="E145" t="str">
        <f>IF(OR(Table1[[#This Row],[Type]]=0,Table1[[#This Row],[Type]]&gt;=40),"JA","SD")</f>
        <v>SD</v>
      </c>
      <c r="F145" t="s">
        <v>1847</v>
      </c>
      <c r="G145" s="661" t="s">
        <v>2172</v>
      </c>
      <c r="J145" s="653" t="str">
        <f>IFERROR(VLOOKUP(ROWS($J$2:J145),$A$2:$B$996,2,FALSE),"")</f>
        <v/>
      </c>
    </row>
    <row r="146" spans="1:10" x14ac:dyDescent="0.2">
      <c r="A146">
        <f>IF(ISNUMBER(SEARCH(Cover!$H$13,Table1[[#This Row],[School District]])),MAX($A$1:A145)+1,0)</f>
        <v>0</v>
      </c>
      <c r="B146" s="661" t="s">
        <v>1517</v>
      </c>
      <c r="C146" s="1599">
        <v>7016110002</v>
      </c>
      <c r="D146" s="664">
        <v>2</v>
      </c>
      <c r="E146" t="str">
        <f>IF(OR(Table1[[#This Row],[Type]]=0,Table1[[#This Row],[Type]]&gt;=40),"JA","SD")</f>
        <v>SD</v>
      </c>
      <c r="F146" t="s">
        <v>1766</v>
      </c>
      <c r="G146" s="661" t="s">
        <v>2173</v>
      </c>
      <c r="J146" s="653" t="str">
        <f>IFERROR(VLOOKUP(ROWS($J$2:J146),$A$2:$B$996,2,FALSE),"")</f>
        <v/>
      </c>
    </row>
    <row r="147" spans="1:10" x14ac:dyDescent="0.2">
      <c r="A147">
        <f>IF(ISNUMBER(SEARCH(Cover!$H$13,Table1[[#This Row],[School District]])),MAX($A$1:A146)+1,0)</f>
        <v>0</v>
      </c>
      <c r="B147" s="661" t="s">
        <v>1388</v>
      </c>
      <c r="C147" s="1599">
        <v>13058200017</v>
      </c>
      <c r="D147" s="664">
        <v>17</v>
      </c>
      <c r="E147" t="str">
        <f>IF(OR(Table1[[#This Row],[Type]]=0,Table1[[#This Row],[Type]]&gt;=40),"JA","SD")</f>
        <v>SD</v>
      </c>
      <c r="F147" t="s">
        <v>1842</v>
      </c>
      <c r="G147" s="661" t="s">
        <v>2174</v>
      </c>
      <c r="J147" s="653" t="str">
        <f>IFERROR(VLOOKUP(ROWS($J$2:J147),$A$2:$B$996,2,FALSE),"")</f>
        <v/>
      </c>
    </row>
    <row r="148" spans="1:10" x14ac:dyDescent="0.2">
      <c r="A148">
        <f>IF(ISNUMBER(SEARCH(Cover!$H$13,Table1[[#This Row],[School District]])),MAX($A$1:A147)+1,0)</f>
        <v>0</v>
      </c>
      <c r="B148" s="661" t="s">
        <v>1389</v>
      </c>
      <c r="C148" s="1599">
        <v>13058135002</v>
      </c>
      <c r="D148" s="664">
        <v>2</v>
      </c>
      <c r="E148" t="str">
        <f>IF(OR(Table1[[#This Row],[Type]]=0,Table1[[#This Row],[Type]]&gt;=40),"JA","SD")</f>
        <v>SD</v>
      </c>
      <c r="F148" t="s">
        <v>1842</v>
      </c>
      <c r="G148" s="661" t="s">
        <v>2175</v>
      </c>
      <c r="J148" s="653" t="str">
        <f>IFERROR(VLOOKUP(ROWS($J$2:J148),$A$2:$B$996,2,FALSE),"")</f>
        <v/>
      </c>
    </row>
    <row r="149" spans="1:10" x14ac:dyDescent="0.2">
      <c r="A149">
        <f>IF(ISNUMBER(SEARCH(Cover!$H$13,Table1[[#This Row],[School District]])),MAX($A$1:A148)+1,0)</f>
        <v>0</v>
      </c>
      <c r="B149" s="661" t="s">
        <v>1226</v>
      </c>
      <c r="C149" s="1599">
        <v>30077100026</v>
      </c>
      <c r="D149" s="664">
        <v>26</v>
      </c>
      <c r="E149" t="str">
        <f>IF(OR(Table1[[#This Row],[Type]]=0,Table1[[#This Row],[Type]]&gt;=40),"JA","SD")</f>
        <v>SD</v>
      </c>
      <c r="F149" t="s">
        <v>1848</v>
      </c>
      <c r="G149" s="661" t="s">
        <v>2176</v>
      </c>
      <c r="J149" s="653" t="str">
        <f>IFERROR(VLOOKUP(ROWS($J$2:J149),$A$2:$B$996,2,FALSE),"")</f>
        <v/>
      </c>
    </row>
    <row r="150" spans="1:10" x14ac:dyDescent="0.2">
      <c r="A150">
        <f>IF(ISNUMBER(SEARCH(Cover!$H$13,Table1[[#This Row],[School District]])),MAX($A$1:A149)+1,0)</f>
        <v>0</v>
      </c>
      <c r="B150" s="661" t="s">
        <v>1849</v>
      </c>
      <c r="C150" s="1599">
        <v>39074100026</v>
      </c>
      <c r="D150" s="664">
        <v>26</v>
      </c>
      <c r="E150" t="str">
        <f>IF(OR(Table1[[#This Row],[Type]]=0,Table1[[#This Row],[Type]]&gt;=40),"JA","SD")</f>
        <v>SD</v>
      </c>
      <c r="F150" t="s">
        <v>3156</v>
      </c>
      <c r="G150" s="661" t="s">
        <v>2177</v>
      </c>
      <c r="J150" s="653" t="str">
        <f>IFERROR(VLOOKUP(ROWS($J$2:J150),$A$2:$B$996,2,FALSE),"")</f>
        <v/>
      </c>
    </row>
    <row r="151" spans="1:10" x14ac:dyDescent="0.2">
      <c r="A151">
        <f>IF(ISNUMBER(SEARCH(Cover!$H$13,Table1[[#This Row],[School District]])),MAX($A$1:A150)+1,0)</f>
        <v>0</v>
      </c>
      <c r="B151" s="661" t="s">
        <v>1461</v>
      </c>
      <c r="C151" s="1599">
        <v>8008399026</v>
      </c>
      <c r="D151" s="664">
        <v>26</v>
      </c>
      <c r="E151" t="str">
        <f>IF(OR(Table1[[#This Row],[Type]]=0,Table1[[#This Row],[Type]]&gt;=40),"JA","SD")</f>
        <v>SD</v>
      </c>
      <c r="F151" t="s">
        <v>1850</v>
      </c>
      <c r="G151" s="661" t="s">
        <v>2178</v>
      </c>
      <c r="J151" s="653" t="str">
        <f>IFERROR(VLOOKUP(ROWS($J$2:J151),$A$2:$B$996,2,FALSE),"")</f>
        <v/>
      </c>
    </row>
    <row r="152" spans="1:10" x14ac:dyDescent="0.2">
      <c r="A152">
        <f>IF(ISNUMBER(SEARCH(Cover!$H$13,Table1[[#This Row],[School District]])),MAX($A$1:A151)+1,0)</f>
        <v>0</v>
      </c>
      <c r="B152" s="661" t="s">
        <v>1451</v>
      </c>
      <c r="C152" s="1599">
        <v>9010004026</v>
      </c>
      <c r="D152" s="664">
        <v>26</v>
      </c>
      <c r="E152" t="str">
        <f>IF(OR(Table1[[#This Row],[Type]]=0,Table1[[#This Row],[Type]]&gt;=40),"JA","SD")</f>
        <v>SD</v>
      </c>
      <c r="F152" t="s">
        <v>1851</v>
      </c>
      <c r="G152" s="661" t="s">
        <v>2179</v>
      </c>
      <c r="J152" s="653" t="str">
        <f>IFERROR(VLOOKUP(ROWS($J$2:J152),$A$2:$B$996,2,FALSE),"")</f>
        <v/>
      </c>
    </row>
    <row r="153" spans="1:10" x14ac:dyDescent="0.2">
      <c r="A153">
        <f>IF(ISNUMBER(SEARCH(Cover!$H$13,Table1[[#This Row],[School District]])),MAX($A$1:A152)+1,0)</f>
        <v>0</v>
      </c>
      <c r="B153" s="661" t="s">
        <v>953</v>
      </c>
      <c r="C153" s="1599">
        <v>56099088002</v>
      </c>
      <c r="D153" s="664">
        <v>2</v>
      </c>
      <c r="E153" t="str">
        <f>IF(OR(Table1[[#This Row],[Type]]=0,Table1[[#This Row],[Type]]&gt;=40),"JA","SD")</f>
        <v>SD</v>
      </c>
      <c r="F153" t="s">
        <v>1793</v>
      </c>
      <c r="G153" s="661" t="s">
        <v>2180</v>
      </c>
      <c r="J153" s="653" t="str">
        <f>IFERROR(VLOOKUP(ROWS($J$2:J153),$A$2:$B$996,2,FALSE),"")</f>
        <v/>
      </c>
    </row>
    <row r="154" spans="1:10" x14ac:dyDescent="0.2">
      <c r="A154">
        <f>IF(ISNUMBER(SEARCH(Cover!$H$13,Table1[[#This Row],[School District]])),MAX($A$1:A153)+1,0)</f>
        <v>0</v>
      </c>
      <c r="B154" s="661" t="s">
        <v>957</v>
      </c>
      <c r="C154" s="1599">
        <v>56099017002</v>
      </c>
      <c r="D154" s="664">
        <v>2</v>
      </c>
      <c r="E154" t="str">
        <f>IF(OR(Table1[[#This Row],[Type]]=0,Table1[[#This Row],[Type]]&gt;=40),"JA","SD")</f>
        <v>SD</v>
      </c>
      <c r="F154" t="s">
        <v>1793</v>
      </c>
      <c r="G154" s="661" t="s">
        <v>2181</v>
      </c>
      <c r="J154" s="653" t="str">
        <f>IFERROR(VLOOKUP(ROWS($J$2:J154),$A$2:$B$996,2,FALSE),"")</f>
        <v/>
      </c>
    </row>
    <row r="155" spans="1:10" x14ac:dyDescent="0.2">
      <c r="A155">
        <f>IF(ISNUMBER(SEARCH(Cover!$H$13,Table1[[#This Row],[School District]])),MAX($A$1:A154)+1,0)</f>
        <v>0</v>
      </c>
      <c r="B155" s="661" t="s">
        <v>1439</v>
      </c>
      <c r="C155" s="1599">
        <v>11015001026</v>
      </c>
      <c r="D155" s="664">
        <v>26</v>
      </c>
      <c r="E155" t="str">
        <f>IF(OR(Table1[[#This Row],[Type]]=0,Table1[[#This Row],[Type]]&gt;=40),"JA","SD")</f>
        <v>SD</v>
      </c>
      <c r="F155" t="s">
        <v>1852</v>
      </c>
      <c r="G155" s="661" t="s">
        <v>2182</v>
      </c>
      <c r="J155" s="653" t="str">
        <f>IFERROR(VLOOKUP(ROWS($J$2:J155),$A$2:$B$996,2,FALSE),"")</f>
        <v/>
      </c>
    </row>
    <row r="156" spans="1:10" x14ac:dyDescent="0.2">
      <c r="A156">
        <f>IF(ISNUMBER(SEARCH(Cover!$H$13,Table1[[#This Row],[School District]])),MAX($A$1:A155)+1,0)</f>
        <v>0</v>
      </c>
      <c r="B156" s="661" t="s">
        <v>1072</v>
      </c>
      <c r="C156" s="1599">
        <v>45079139026</v>
      </c>
      <c r="D156" s="664">
        <v>26</v>
      </c>
      <c r="E156" t="str">
        <f>IF(OR(Table1[[#This Row],[Type]]=0,Table1[[#This Row],[Type]]&gt;=40),"JA","SD")</f>
        <v>SD</v>
      </c>
      <c r="F156" t="s">
        <v>1853</v>
      </c>
      <c r="G156" s="661" t="s">
        <v>2183</v>
      </c>
      <c r="J156" s="653" t="str">
        <f>IFERROR(VLOOKUP(ROWS($J$2:J156),$A$2:$B$996,2,FALSE),"")</f>
        <v/>
      </c>
    </row>
    <row r="157" spans="1:10" x14ac:dyDescent="0.2">
      <c r="A157">
        <f>IF(ISNUMBER(SEARCH(Cover!$H$13,Table1[[#This Row],[School District]])),MAX($A$1:A156)+1,0)</f>
        <v>0</v>
      </c>
      <c r="B157" s="661" t="s">
        <v>1854</v>
      </c>
      <c r="C157" s="1599">
        <v>45079122019</v>
      </c>
      <c r="D157" s="664">
        <v>19</v>
      </c>
      <c r="E157" t="str">
        <f>IF(OR(Table1[[#This Row],[Type]]=0,Table1[[#This Row],[Type]]&gt;=40),"JA","SD")</f>
        <v>SD</v>
      </c>
      <c r="F157" t="s">
        <v>1853</v>
      </c>
      <c r="G157" s="661" t="s">
        <v>2184</v>
      </c>
      <c r="J157" s="653" t="str">
        <f>IFERROR(VLOOKUP(ROWS($J$2:J157),$A$2:$B$996,2,FALSE),"")</f>
        <v/>
      </c>
    </row>
    <row r="158" spans="1:10" x14ac:dyDescent="0.2">
      <c r="A158">
        <f>IF(ISNUMBER(SEARCH(Cover!$H$13,Table1[[#This Row],[School District]])),MAX($A$1:A157)+1,0)</f>
        <v>0</v>
      </c>
      <c r="B158" s="661" t="s">
        <v>1855</v>
      </c>
      <c r="C158" s="1599">
        <v>17054061004</v>
      </c>
      <c r="D158" s="664">
        <v>4</v>
      </c>
      <c r="E158" t="str">
        <f>IF(OR(Table1[[#This Row],[Type]]=0,Table1[[#This Row],[Type]]&gt;=40),"JA","SD")</f>
        <v>SD</v>
      </c>
      <c r="F158" t="s">
        <v>1856</v>
      </c>
      <c r="G158" s="661" t="s">
        <v>2185</v>
      </c>
      <c r="J158" s="653" t="str">
        <f>IFERROR(VLOOKUP(ROWS($J$2:J158),$A$2:$B$996,2,FALSE),"")</f>
        <v/>
      </c>
    </row>
    <row r="159" spans="1:10" x14ac:dyDescent="0.2">
      <c r="A159">
        <f>IF(ISNUMBER(SEARCH(Cover!$H$13,Table1[[#This Row],[School District]])),MAX($A$1:A158)+1,0)</f>
        <v>0</v>
      </c>
      <c r="B159" s="661" t="s">
        <v>1476</v>
      </c>
      <c r="C159" s="1599">
        <v>7016170002</v>
      </c>
      <c r="D159" s="664">
        <v>2</v>
      </c>
      <c r="E159" t="str">
        <f>IF(OR(Table1[[#This Row],[Type]]=0,Table1[[#This Row],[Type]]&gt;=40),"JA","SD")</f>
        <v>SD</v>
      </c>
      <c r="F159" t="s">
        <v>1766</v>
      </c>
      <c r="G159" s="661" t="s">
        <v>2186</v>
      </c>
      <c r="J159" s="653" t="str">
        <f>IFERROR(VLOOKUP(ROWS($J$2:J159),$A$2:$B$996,2,FALSE),"")</f>
        <v/>
      </c>
    </row>
    <row r="160" spans="1:10" x14ac:dyDescent="0.2">
      <c r="A160">
        <f>IF(ISNUMBER(SEARCH(Cover!$H$13,Table1[[#This Row],[School District]])),MAX($A$1:A159)+1,0)</f>
        <v>0</v>
      </c>
      <c r="B160" s="661" t="s">
        <v>1508</v>
      </c>
      <c r="C160" s="1599">
        <v>7016127502</v>
      </c>
      <c r="D160" s="664">
        <v>2</v>
      </c>
      <c r="E160" t="str">
        <f>IF(OR(Table1[[#This Row],[Type]]=0,Table1[[#This Row],[Type]]&gt;=40),"JA","SD")</f>
        <v>SD</v>
      </c>
      <c r="F160" t="s">
        <v>1766</v>
      </c>
      <c r="G160" s="661" t="s">
        <v>2187</v>
      </c>
      <c r="J160" s="653" t="str">
        <f>IFERROR(VLOOKUP(ROWS($J$2:J160),$A$2:$B$996,2,FALSE),"")</f>
        <v/>
      </c>
    </row>
    <row r="161" spans="1:10" x14ac:dyDescent="0.2">
      <c r="A161">
        <f>IF(ISNUMBER(SEARCH(Cover!$H$13,Table1[[#This Row],[School District]])),MAX($A$1:A160)+1,0)</f>
        <v>0</v>
      </c>
      <c r="B161" s="661" t="s">
        <v>1297</v>
      </c>
      <c r="C161" s="1599">
        <v>21028099026</v>
      </c>
      <c r="D161" s="664">
        <v>26</v>
      </c>
      <c r="E161" t="str">
        <f>IF(OR(Table1[[#This Row],[Type]]=0,Table1[[#This Row],[Type]]&gt;=40),"JA","SD")</f>
        <v>SD</v>
      </c>
      <c r="F161" t="s">
        <v>1767</v>
      </c>
      <c r="G161" s="661" t="s">
        <v>2188</v>
      </c>
      <c r="J161" s="653" t="str">
        <f>IFERROR(VLOOKUP(ROWS($J$2:J161),$A$2:$B$996,2,FALSE),"")</f>
        <v/>
      </c>
    </row>
    <row r="162" spans="1:10" x14ac:dyDescent="0.2">
      <c r="A162">
        <f>IF(ISNUMBER(SEARCH(Cover!$H$13,Table1[[#This Row],[School District]])),MAX($A$1:A161)+1,0)</f>
        <v>0</v>
      </c>
      <c r="B162" s="661" t="s">
        <v>1157</v>
      </c>
      <c r="C162" s="1599">
        <v>34049117016</v>
      </c>
      <c r="D162" s="664">
        <v>16</v>
      </c>
      <c r="E162" t="str">
        <f>IF(OR(Table1[[#This Row],[Type]]=0,Table1[[#This Row],[Type]]&gt;=40),"JA","SD")</f>
        <v>SD</v>
      </c>
      <c r="F162" t="s">
        <v>1765</v>
      </c>
      <c r="G162" s="661" t="s">
        <v>2189</v>
      </c>
      <c r="J162" s="653" t="str">
        <f>IFERROR(VLOOKUP(ROWS($J$2:J162),$A$2:$B$996,2,FALSE),"")</f>
        <v/>
      </c>
    </row>
    <row r="163" spans="1:10" x14ac:dyDescent="0.2">
      <c r="A163">
        <f>IF(ISNUMBER(SEARCH(Cover!$H$13,Table1[[#This Row],[School District]])),MAX($A$1:A162)+1,0)</f>
        <v>0</v>
      </c>
      <c r="B163" s="661" t="s">
        <v>1150</v>
      </c>
      <c r="C163" s="1599">
        <v>34049128016</v>
      </c>
      <c r="D163" s="664">
        <v>16</v>
      </c>
      <c r="E163" t="str">
        <f>IF(OR(Table1[[#This Row],[Type]]=0,Table1[[#This Row],[Type]]&gt;=40),"JA","SD")</f>
        <v>SD</v>
      </c>
      <c r="F163" t="s">
        <v>1765</v>
      </c>
      <c r="G163" s="661" t="s">
        <v>2190</v>
      </c>
      <c r="J163" s="653" t="str">
        <f>IFERROR(VLOOKUP(ROWS($J$2:J163),$A$2:$B$996,2,FALSE),"")</f>
        <v/>
      </c>
    </row>
    <row r="164" spans="1:10" x14ac:dyDescent="0.2">
      <c r="A164">
        <f>IF(ISNUMBER(SEARCH(Cover!$H$13,Table1[[#This Row],[School District]])),MAX($A$1:A163)+1,0)</f>
        <v>0</v>
      </c>
      <c r="B164" s="661" t="s">
        <v>1082</v>
      </c>
      <c r="C164" s="1599">
        <v>44063155016</v>
      </c>
      <c r="D164" s="664">
        <v>16</v>
      </c>
      <c r="E164" t="str">
        <f>IF(OR(Table1[[#This Row],[Type]]=0,Table1[[#This Row],[Type]]&gt;=40),"JA","SD")</f>
        <v>SD</v>
      </c>
      <c r="F164" t="s">
        <v>3152</v>
      </c>
      <c r="G164" s="661" t="s">
        <v>2191</v>
      </c>
      <c r="J164" s="653" t="str">
        <f>IFERROR(VLOOKUP(ROWS($J$2:J164),$A$2:$B$996,2,FALSE),"")</f>
        <v/>
      </c>
    </row>
    <row r="165" spans="1:10" x14ac:dyDescent="0.2">
      <c r="A165">
        <f>IF(ISNUMBER(SEARCH(Cover!$H$13,Table1[[#This Row],[School District]])),MAX($A$1:A164)+1,0)</f>
        <v>0</v>
      </c>
      <c r="B165" s="661" t="s">
        <v>1857</v>
      </c>
      <c r="C165" s="1599">
        <v>7016218016</v>
      </c>
      <c r="D165" s="664">
        <v>16</v>
      </c>
      <c r="E165" t="str">
        <f>IF(OR(Table1[[#This Row],[Type]]=0,Table1[[#This Row],[Type]]&gt;=40),"JA","SD")</f>
        <v>SD</v>
      </c>
      <c r="F165" t="s">
        <v>1766</v>
      </c>
      <c r="G165" s="661" t="s">
        <v>2192</v>
      </c>
      <c r="J165" s="653" t="str">
        <f>IFERROR(VLOOKUP(ROWS($J$2:J165),$A$2:$B$996,2,FALSE),"")</f>
        <v/>
      </c>
    </row>
    <row r="166" spans="1:10" x14ac:dyDescent="0.2">
      <c r="A166">
        <f>IF(ISNUMBER(SEARCH(Cover!$H$13,Table1[[#This Row],[School District]])),MAX($A$1:A165)+1,0)</f>
        <v>0</v>
      </c>
      <c r="B166" s="661" t="s">
        <v>1322</v>
      </c>
      <c r="C166" s="1599">
        <v>19022094016</v>
      </c>
      <c r="D166" s="664">
        <v>16</v>
      </c>
      <c r="E166" t="str">
        <f>IF(OR(Table1[[#This Row],[Type]]=0,Table1[[#This Row],[Type]]&gt;=40),"JA","SD")</f>
        <v>SD</v>
      </c>
      <c r="F166" t="s">
        <v>3143</v>
      </c>
      <c r="G166" s="661" t="s">
        <v>2193</v>
      </c>
      <c r="J166" s="653" t="str">
        <f>IFERROR(VLOOKUP(ROWS($J$2:J166),$A$2:$B$996,2,FALSE),"")</f>
        <v/>
      </c>
    </row>
    <row r="167" spans="1:10" x14ac:dyDescent="0.2">
      <c r="A167">
        <f>IF(ISNUMBER(SEARCH(Cover!$H$13,Table1[[#This Row],[School District]])),MAX($A$1:A166)+1,0)</f>
        <v>0</v>
      </c>
      <c r="B167" s="661" t="s">
        <v>1321</v>
      </c>
      <c r="C167" s="1599">
        <v>19022099016</v>
      </c>
      <c r="D167" s="664">
        <v>16</v>
      </c>
      <c r="E167" t="str">
        <f>IF(OR(Table1[[#This Row],[Type]]=0,Table1[[#This Row],[Type]]&gt;=40),"JA","SD")</f>
        <v>SD</v>
      </c>
      <c r="F167" t="s">
        <v>3143</v>
      </c>
      <c r="G167" s="661" t="s">
        <v>2194</v>
      </c>
      <c r="J167" s="653" t="str">
        <f>IFERROR(VLOOKUP(ROWS($J$2:J167),$A$2:$B$996,2,FALSE),"")</f>
        <v/>
      </c>
    </row>
    <row r="168" spans="1:10" x14ac:dyDescent="0.2">
      <c r="A168">
        <f>IF(ISNUMBER(SEARCH(Cover!$H$13,Table1[[#This Row],[School District]])),MAX($A$1:A167)+1,0)</f>
        <v>0</v>
      </c>
      <c r="B168" s="661" t="s">
        <v>1533</v>
      </c>
      <c r="C168" s="1599">
        <v>6016099002</v>
      </c>
      <c r="D168" s="664">
        <v>2</v>
      </c>
      <c r="E168" t="str">
        <f>IF(OR(Table1[[#This Row],[Type]]=0,Table1[[#This Row],[Type]]&gt;=40),"JA","SD")</f>
        <v>SD</v>
      </c>
      <c r="F168" t="s">
        <v>1766</v>
      </c>
      <c r="G168" s="661" t="s">
        <v>2195</v>
      </c>
      <c r="J168" s="653" t="str">
        <f>IFERROR(VLOOKUP(ROWS($J$2:J168),$A$2:$B$996,2,FALSE),"")</f>
        <v/>
      </c>
    </row>
    <row r="169" spans="1:10" x14ac:dyDescent="0.2">
      <c r="A169">
        <f>IF(ISNUMBER(SEARCH(Cover!$H$13,Table1[[#This Row],[School District]])),MAX($A$1:A168)+1,0)</f>
        <v>0</v>
      </c>
      <c r="B169" s="661" t="s">
        <v>1209</v>
      </c>
      <c r="C169" s="1599">
        <v>32038006026</v>
      </c>
      <c r="D169" s="664">
        <v>26</v>
      </c>
      <c r="E169" t="str">
        <f>IF(OR(Table1[[#This Row],[Type]]=0,Table1[[#This Row],[Type]]&gt;=40),"JA","SD")</f>
        <v>SD</v>
      </c>
      <c r="F169" t="s">
        <v>1844</v>
      </c>
      <c r="G169" s="661" t="s">
        <v>2196</v>
      </c>
      <c r="J169" s="653" t="str">
        <f>IFERROR(VLOOKUP(ROWS($J$2:J169),$A$2:$B$996,2,FALSE),"")</f>
        <v/>
      </c>
    </row>
    <row r="170" spans="1:10" x14ac:dyDescent="0.2">
      <c r="A170">
        <f>IF(ISNUMBER(SEARCH(Cover!$H$13,Table1[[#This Row],[School District]])),MAX($A$1:A169)+1,0)</f>
        <v>0</v>
      </c>
      <c r="B170" s="661" t="s">
        <v>1379</v>
      </c>
      <c r="C170" s="1599">
        <v>15016299025</v>
      </c>
      <c r="D170" s="664">
        <v>25</v>
      </c>
      <c r="E170" t="str">
        <f>IF(OR(Table1[[#This Row],[Type]]=0,Table1[[#This Row],[Type]]&gt;=40),"JA","SD")</f>
        <v>SD</v>
      </c>
      <c r="F170" t="s">
        <v>1766</v>
      </c>
      <c r="G170" s="661" t="s">
        <v>2197</v>
      </c>
      <c r="J170" s="653" t="str">
        <f>IFERROR(VLOOKUP(ROWS($J$2:J170),$A$2:$B$996,2,FALSE),"")</f>
        <v/>
      </c>
    </row>
    <row r="171" spans="1:10" x14ac:dyDescent="0.2">
      <c r="A171">
        <f>IF(ISNUMBER(SEARCH(Cover!$H$13,Table1[[#This Row],[School District]])),MAX($A$1:A170)+1,0)</f>
        <v>0</v>
      </c>
      <c r="B171" s="661" t="s">
        <v>1422</v>
      </c>
      <c r="C171" s="1599">
        <v>12013010026</v>
      </c>
      <c r="D171" s="664">
        <v>26</v>
      </c>
      <c r="E171" t="str">
        <f>IF(OR(Table1[[#This Row],[Type]]=0,Table1[[#This Row],[Type]]&gt;=40),"JA","SD")</f>
        <v>SD</v>
      </c>
      <c r="F171" t="s">
        <v>3157</v>
      </c>
      <c r="G171" s="661" t="s">
        <v>2198</v>
      </c>
      <c r="J171" s="653" t="str">
        <f>IFERROR(VLOOKUP(ROWS($J$2:J171),$A$2:$B$996,2,FALSE),"")</f>
        <v/>
      </c>
    </row>
    <row r="172" spans="1:10" x14ac:dyDescent="0.2">
      <c r="A172">
        <f>IF(ISNUMBER(SEARCH(Cover!$H$13,Table1[[#This Row],[School District]])),MAX($A$1:A171)+1,0)</f>
        <v>0</v>
      </c>
      <c r="B172" t="s">
        <v>1859</v>
      </c>
      <c r="C172" s="1599">
        <v>12013035046</v>
      </c>
      <c r="D172" s="664">
        <v>46</v>
      </c>
      <c r="E172" t="str">
        <f>IF(OR(Table1[[#This Row],[Type]]=0,Table1[[#This Row],[Type]]&gt;=40),"JA","SD")</f>
        <v>JA</v>
      </c>
      <c r="F172" t="s">
        <v>3158</v>
      </c>
      <c r="G172" s="661" t="s">
        <v>2199</v>
      </c>
      <c r="J172" s="653" t="str">
        <f>IFERROR(VLOOKUP(ROWS($J$2:J172),$A$2:$B$996,2,FALSE),"")</f>
        <v/>
      </c>
    </row>
    <row r="173" spans="1:10" ht="15" customHeight="1" x14ac:dyDescent="0.2">
      <c r="A173">
        <f>IF(ISNUMBER(SEARCH(Cover!$H$13,Table1[[#This Row],[School District]])),MAX($A$1:A172)+1,0)</f>
        <v>0</v>
      </c>
      <c r="B173" s="661" t="s">
        <v>1371</v>
      </c>
      <c r="C173" s="1599">
        <v>17020015026</v>
      </c>
      <c r="D173" s="664">
        <v>26</v>
      </c>
      <c r="E173" t="str">
        <f>IF(OR(Table1[[#This Row],[Type]]=0,Table1[[#This Row],[Type]]&gt;=40),"JA","SD")</f>
        <v>SD</v>
      </c>
      <c r="F173" t="s">
        <v>1802</v>
      </c>
      <c r="G173" s="661" t="s">
        <v>2200</v>
      </c>
      <c r="J173" s="653" t="str">
        <f>IFERROR(VLOOKUP(ROWS($J$2:J173),$A$2:$B$996,2,FALSE),"")</f>
        <v/>
      </c>
    </row>
    <row r="174" spans="1:10" x14ac:dyDescent="0.2">
      <c r="A174">
        <f>IF(ISNUMBER(SEARCH(Cover!$H$13,Table1[[#This Row],[School District]])),MAX($A$1:A173)+1,0)</f>
        <v>0</v>
      </c>
      <c r="B174" s="661" t="s">
        <v>1280</v>
      </c>
      <c r="C174" s="1599">
        <v>24032001026</v>
      </c>
      <c r="D174" s="664">
        <v>26</v>
      </c>
      <c r="E174" t="str">
        <f>IF(OR(Table1[[#This Row],[Type]]=0,Table1[[#This Row],[Type]]&gt;=40),"JA","SD")</f>
        <v>SD</v>
      </c>
      <c r="F174" t="s">
        <v>3159</v>
      </c>
      <c r="G174" s="661" t="s">
        <v>2201</v>
      </c>
      <c r="J174" s="653" t="str">
        <f>IFERROR(VLOOKUP(ROWS($J$2:J174),$A$2:$B$996,2,FALSE),"")</f>
        <v/>
      </c>
    </row>
    <row r="175" spans="1:10" x14ac:dyDescent="0.2">
      <c r="A175">
        <f>IF(ISNUMBER(SEARCH(Cover!$H$13,Table1[[#This Row],[School District]])),MAX($A$1:A174)+1,0)</f>
        <v>0</v>
      </c>
      <c r="B175" s="661" t="s">
        <v>1860</v>
      </c>
      <c r="C175" s="1599">
        <v>30091017022</v>
      </c>
      <c r="D175" s="664">
        <v>22</v>
      </c>
      <c r="E175" t="str">
        <f>IF(OR(Table1[[#This Row],[Type]]=0,Table1[[#This Row],[Type]]&gt;=40),"JA","SD")</f>
        <v>SD</v>
      </c>
      <c r="F175" t="s">
        <v>1778</v>
      </c>
      <c r="G175" s="661" t="s">
        <v>2202</v>
      </c>
      <c r="J175" s="653" t="str">
        <f>IFERROR(VLOOKUP(ROWS($J$2:J175),$A$2:$B$996,2,FALSE),"")</f>
        <v/>
      </c>
    </row>
    <row r="176" spans="1:10" x14ac:dyDescent="0.2">
      <c r="A176">
        <f>IF(ISNUMBER(SEARCH(Cover!$H$13,Table1[[#This Row],[School District]])),MAX($A$1:A175)+1,0)</f>
        <v>0</v>
      </c>
      <c r="B176" t="s">
        <v>1713</v>
      </c>
      <c r="C176" s="1599">
        <v>41057010041</v>
      </c>
      <c r="D176" s="664">
        <v>41</v>
      </c>
      <c r="E176" t="str">
        <f>IF(OR(Table1[[#This Row],[Type]]=0,Table1[[#This Row],[Type]]&gt;=40),"JA","SD")</f>
        <v>JA</v>
      </c>
      <c r="F176" t="s">
        <v>3160</v>
      </c>
      <c r="G176" s="661" t="s">
        <v>2203</v>
      </c>
      <c r="J176" s="653" t="str">
        <f>IFERROR(VLOOKUP(ROWS($J$2:J176),$A$2:$B$996,2,FALSE),"")</f>
        <v/>
      </c>
    </row>
    <row r="177" spans="1:10" ht="15" customHeight="1" x14ac:dyDescent="0.2">
      <c r="A177">
        <f>IF(ISNUMBER(SEARCH(Cover!$H$13,Table1[[#This Row],[School District]])),MAX($A$1:A176)+1,0)</f>
        <v>0</v>
      </c>
      <c r="B177" s="661" t="s">
        <v>1097</v>
      </c>
      <c r="C177" s="1599">
        <v>41057010026</v>
      </c>
      <c r="D177" s="664">
        <v>26</v>
      </c>
      <c r="E177" t="str">
        <f>IF(OR(Table1[[#This Row],[Type]]=0,Table1[[#This Row],[Type]]&gt;=40),"JA","SD")</f>
        <v>SD</v>
      </c>
      <c r="F177" t="s">
        <v>3257</v>
      </c>
      <c r="G177" s="661" t="s">
        <v>2204</v>
      </c>
      <c r="J177" s="653" t="str">
        <f>IFERROR(VLOOKUP(ROWS($J$2:J177),$A$2:$B$996,2,FALSE),"")</f>
        <v/>
      </c>
    </row>
    <row r="178" spans="1:10" x14ac:dyDescent="0.2">
      <c r="A178">
        <f>IF(ISNUMBER(SEARCH(Cover!$H$13,Table1[[#This Row],[School District]])),MAX($A$1:A177)+1,0)</f>
        <v>0</v>
      </c>
      <c r="B178" s="661" t="s">
        <v>1245</v>
      </c>
      <c r="C178" s="1599">
        <v>28037190002</v>
      </c>
      <c r="D178" s="664">
        <v>2</v>
      </c>
      <c r="E178" t="str">
        <f>IF(OR(Table1[[#This Row],[Type]]=0,Table1[[#This Row],[Type]]&gt;=40),"JA","SD")</f>
        <v>SD</v>
      </c>
      <c r="F178" t="s">
        <v>1776</v>
      </c>
      <c r="G178" s="661" t="s">
        <v>2205</v>
      </c>
      <c r="J178" s="653" t="str">
        <f>IFERROR(VLOOKUP(ROWS($J$2:J178),$A$2:$B$996,2,FALSE),"")</f>
        <v/>
      </c>
    </row>
    <row r="179" spans="1:10" x14ac:dyDescent="0.2">
      <c r="A179">
        <f>IF(ISNUMBER(SEARCH(Cover!$H$13,Table1[[#This Row],[School District]])),MAX($A$1:A178)+1,0)</f>
        <v>0</v>
      </c>
      <c r="B179" s="661" t="s">
        <v>1861</v>
      </c>
      <c r="C179" s="1599">
        <v>45067004026</v>
      </c>
      <c r="D179" s="664">
        <v>26</v>
      </c>
      <c r="E179" t="str">
        <f>IF(OR(Table1[[#This Row],[Type]]=0,Table1[[#This Row],[Type]]&gt;=40),"JA","SD")</f>
        <v>SD</v>
      </c>
      <c r="F179" t="s">
        <v>3258</v>
      </c>
      <c r="G179" s="661" t="s">
        <v>2206</v>
      </c>
      <c r="J179" s="653" t="str">
        <f>IFERROR(VLOOKUP(ROWS($J$2:J179),$A$2:$B$996,2,FALSE),"")</f>
        <v/>
      </c>
    </row>
    <row r="180" spans="1:10" x14ac:dyDescent="0.2">
      <c r="A180">
        <f>IF(ISNUMBER(SEARCH(Cover!$H$13,Table1[[#This Row],[School District]])),MAX($A$1:A179)+1,0)</f>
        <v>0</v>
      </c>
      <c r="B180" s="661" t="s">
        <v>1862</v>
      </c>
      <c r="C180" s="1599">
        <v>5016059004</v>
      </c>
      <c r="D180" s="664">
        <v>4</v>
      </c>
      <c r="E180" t="str">
        <f>IF(OR(Table1[[#This Row],[Type]]=0,Table1[[#This Row],[Type]]&gt;=40),"JA","SD")</f>
        <v>SD</v>
      </c>
      <c r="F180" t="s">
        <v>1766</v>
      </c>
      <c r="G180" s="661" t="s">
        <v>2207</v>
      </c>
      <c r="J180" s="653" t="str">
        <f>IFERROR(VLOOKUP(ROWS($J$2:J180),$A$2:$B$996,2,FALSE),"")</f>
        <v/>
      </c>
    </row>
    <row r="181" spans="1:10" x14ac:dyDescent="0.2">
      <c r="A181">
        <f>IF(ISNUMBER(SEARCH(Cover!$H$13,Table1[[#This Row],[School District]])),MAX($A$1:A180)+1,0)</f>
        <v>0</v>
      </c>
      <c r="B181" s="661" t="s">
        <v>1863</v>
      </c>
      <c r="C181" s="1599">
        <v>7016230013</v>
      </c>
      <c r="D181" s="664">
        <v>13</v>
      </c>
      <c r="E181" t="str">
        <f>IF(OR(Table1[[#This Row],[Type]]=0,Table1[[#This Row],[Type]]&gt;=40),"JA","SD")</f>
        <v>SD</v>
      </c>
      <c r="F181" t="s">
        <v>1793</v>
      </c>
      <c r="G181" s="661" t="s">
        <v>2208</v>
      </c>
      <c r="J181" s="653" t="str">
        <f>IFERROR(VLOOKUP(ROWS($J$2:J181),$A$2:$B$996,2,FALSE),"")</f>
        <v/>
      </c>
    </row>
    <row r="182" spans="1:10" ht="15" customHeight="1" x14ac:dyDescent="0.2">
      <c r="A182">
        <f>IF(ISNUMBER(SEARCH(Cover!$H$13,Table1[[#This Row],[School District]])),MAX($A$1:A181)+1,0)</f>
        <v>0</v>
      </c>
      <c r="B182" s="661" t="s">
        <v>1864</v>
      </c>
      <c r="C182" s="1599">
        <v>7016130002</v>
      </c>
      <c r="D182" s="664">
        <v>2</v>
      </c>
      <c r="E182" t="str">
        <f>IF(OR(Table1[[#This Row],[Type]]=0,Table1[[#This Row],[Type]]&gt;=40),"JA","SD")</f>
        <v>SD</v>
      </c>
      <c r="F182" t="s">
        <v>1766</v>
      </c>
      <c r="G182" s="661" t="s">
        <v>2209</v>
      </c>
      <c r="J182" s="653" t="str">
        <f>IFERROR(VLOOKUP(ROWS($J$2:J182),$A$2:$B$996,2,FALSE),"")</f>
        <v/>
      </c>
    </row>
    <row r="183" spans="1:10" x14ac:dyDescent="0.2">
      <c r="A183">
        <f>IF(ISNUMBER(SEARCH(Cover!$H$13,Table1[[#This Row],[School District]])),MAX($A$1:A182)+1,0)</f>
        <v>0</v>
      </c>
      <c r="B183" t="s">
        <v>1679</v>
      </c>
      <c r="C183" s="1599">
        <v>19022015061</v>
      </c>
      <c r="D183" s="664">
        <v>61</v>
      </c>
      <c r="E183" t="str">
        <f>IF(OR(Table1[[#This Row],[Type]]=0,Table1[[#This Row],[Type]]&gt;=40),"JA","SD")</f>
        <v>JA</v>
      </c>
      <c r="F183" t="s">
        <v>3143</v>
      </c>
      <c r="G183" s="661" t="s">
        <v>2210</v>
      </c>
      <c r="J183" s="653" t="str">
        <f>IFERROR(VLOOKUP(ROWS($J$2:J183),$A$2:$B$996,2,FALSE),"")</f>
        <v/>
      </c>
    </row>
    <row r="184" spans="1:10" x14ac:dyDescent="0.2">
      <c r="A184">
        <f>IF(ISNUMBER(SEARCH(Cover!$H$13,Table1[[#This Row],[School District]])),MAX($A$1:A183)+1,0)</f>
        <v>0</v>
      </c>
      <c r="B184" s="661" t="s">
        <v>1865</v>
      </c>
      <c r="C184" s="1599">
        <v>17053426004</v>
      </c>
      <c r="D184" s="664">
        <v>4</v>
      </c>
      <c r="E184" t="str">
        <f>IF(OR(Table1[[#This Row],[Type]]=0,Table1[[#This Row],[Type]]&gt;=40),"JA","SD")</f>
        <v>SD</v>
      </c>
      <c r="F184" t="s">
        <v>1866</v>
      </c>
      <c r="G184" s="661" t="s">
        <v>2211</v>
      </c>
      <c r="J184" s="653" t="str">
        <f>IFERROR(VLOOKUP(ROWS($J$2:J184),$A$2:$B$996,2,FALSE),"")</f>
        <v/>
      </c>
    </row>
    <row r="185" spans="1:10" x14ac:dyDescent="0.2">
      <c r="A185">
        <f>IF(ISNUMBER(SEARCH(Cover!$H$13,Table1[[#This Row],[School District]])),MAX($A$1:A184)+1,0)</f>
        <v>0</v>
      </c>
      <c r="B185" s="661" t="s">
        <v>1076</v>
      </c>
      <c r="C185" s="1599">
        <v>45079001022</v>
      </c>
      <c r="D185" s="664">
        <v>22</v>
      </c>
      <c r="E185" t="str">
        <f>IF(OR(Table1[[#This Row],[Type]]=0,Table1[[#This Row],[Type]]&gt;=40),"JA","SD")</f>
        <v>SD</v>
      </c>
      <c r="F185" t="s">
        <v>1853</v>
      </c>
      <c r="G185" s="661" t="s">
        <v>2212</v>
      </c>
      <c r="J185" s="653" t="str">
        <f>IFERROR(VLOOKUP(ROWS($J$2:J185),$A$2:$B$996,2,FALSE),"")</f>
        <v/>
      </c>
    </row>
    <row r="186" spans="1:10" x14ac:dyDescent="0.2">
      <c r="A186">
        <f>IF(ISNUMBER(SEARCH(Cover!$H$13,Table1[[#This Row],[School District]])),MAX($A$1:A185)+1,0)</f>
        <v>0</v>
      </c>
      <c r="B186" s="661" t="s">
        <v>1483</v>
      </c>
      <c r="C186" s="1599">
        <v>7016160002</v>
      </c>
      <c r="D186" s="664">
        <v>2</v>
      </c>
      <c r="E186" t="str">
        <f>IF(OR(Table1[[#This Row],[Type]]=0,Table1[[#This Row],[Type]]&gt;=40),"JA","SD")</f>
        <v>SD</v>
      </c>
      <c r="F186" t="s">
        <v>1766</v>
      </c>
      <c r="G186" s="661" t="s">
        <v>2213</v>
      </c>
      <c r="J186" s="653" t="str">
        <f>IFERROR(VLOOKUP(ROWS($J$2:J186),$A$2:$B$996,2,FALSE),"")</f>
        <v/>
      </c>
    </row>
    <row r="187" spans="1:10" x14ac:dyDescent="0.2">
      <c r="A187">
        <f>IF(ISNUMBER(SEARCH(Cover!$H$13,Table1[[#This Row],[School District]])),MAX($A$1:A186)+1,0)</f>
        <v>0</v>
      </c>
      <c r="B187" s="661" t="s">
        <v>1867</v>
      </c>
      <c r="C187" s="1599">
        <v>30091043004</v>
      </c>
      <c r="D187" s="664">
        <v>4</v>
      </c>
      <c r="E187" t="str">
        <f>IF(OR(Table1[[#This Row],[Type]]=0,Table1[[#This Row],[Type]]&gt;=40),"JA","SD")</f>
        <v>SD</v>
      </c>
      <c r="F187" t="s">
        <v>1778</v>
      </c>
      <c r="G187" s="661" t="s">
        <v>2214</v>
      </c>
      <c r="J187" s="653" t="str">
        <f>IFERROR(VLOOKUP(ROWS($J$2:J187),$A$2:$B$996,2,FALSE),"")</f>
        <v/>
      </c>
    </row>
    <row r="188" spans="1:10" x14ac:dyDescent="0.2">
      <c r="A188">
        <f>IF(ISNUMBER(SEARCH(Cover!$H$13,Table1[[#This Row],[School District]])),MAX($A$1:A187)+1,0)</f>
        <v>0</v>
      </c>
      <c r="B188" s="661" t="s">
        <v>1868</v>
      </c>
      <c r="C188" s="1599">
        <v>4101320026</v>
      </c>
      <c r="D188" s="664">
        <v>26</v>
      </c>
      <c r="E188" t="str">
        <f>IF(OR(Table1[[#This Row],[Type]]=0,Table1[[#This Row],[Type]]&gt;=40),"JA","SD")</f>
        <v>SD</v>
      </c>
      <c r="F188" t="s">
        <v>1828</v>
      </c>
      <c r="G188" s="661" t="s">
        <v>2215</v>
      </c>
      <c r="J188" s="653" t="str">
        <f>IFERROR(VLOOKUP(ROWS($J$2:J188),$A$2:$B$996,2,FALSE),"")</f>
        <v/>
      </c>
    </row>
    <row r="189" spans="1:10" x14ac:dyDescent="0.2">
      <c r="A189">
        <f>IF(ISNUMBER(SEARCH(Cover!$H$13,Table1[[#This Row],[School District]])),MAX($A$1:A188)+1,0)</f>
        <v>0</v>
      </c>
      <c r="B189" s="661" t="s">
        <v>1869</v>
      </c>
      <c r="C189" s="1599">
        <v>53102122017</v>
      </c>
      <c r="D189" s="664">
        <v>17</v>
      </c>
      <c r="E189" t="str">
        <f>IF(OR(Table1[[#This Row],[Type]]=0,Table1[[#This Row],[Type]]&gt;=40),"JA","SD")</f>
        <v>SD</v>
      </c>
      <c r="F189" t="s">
        <v>1846</v>
      </c>
      <c r="G189" s="661" t="s">
        <v>2216</v>
      </c>
      <c r="J189" s="653" t="str">
        <f>IFERROR(VLOOKUP(ROWS($J$2:J189),$A$2:$B$996,2,FALSE),"")</f>
        <v/>
      </c>
    </row>
    <row r="190" spans="1:10" x14ac:dyDescent="0.2">
      <c r="A190">
        <f>IF(ISNUMBER(SEARCH(Cover!$H$13,Table1[[#This Row],[School District]])),MAX($A$1:A189)+1,0)</f>
        <v>0</v>
      </c>
      <c r="B190" s="661" t="s">
        <v>931</v>
      </c>
      <c r="C190" s="1599" t="s">
        <v>932</v>
      </c>
      <c r="D190" s="664">
        <v>26</v>
      </c>
      <c r="E190" t="str">
        <f>IF(OR(Table1[[#This Row],[Type]]=0,Table1[[#This Row],[Type]]&gt;=40),"JA","SD")</f>
        <v>SD</v>
      </c>
      <c r="F190" t="s">
        <v>1841</v>
      </c>
      <c r="G190" s="661" t="s">
        <v>2217</v>
      </c>
      <c r="J190" s="653" t="str">
        <f>IFERROR(VLOOKUP(ROWS($J$2:J190),$A$2:$B$996,2,FALSE),"")</f>
        <v/>
      </c>
    </row>
    <row r="191" spans="1:10" x14ac:dyDescent="0.2">
      <c r="A191">
        <f>IF(ISNUMBER(SEARCH(Cover!$H$13,Table1[[#This Row],[School District]])),MAX($A$1:A190)+1,0)</f>
        <v>0</v>
      </c>
      <c r="B191" s="661" t="s">
        <v>1283</v>
      </c>
      <c r="C191" s="1599">
        <v>21100003026</v>
      </c>
      <c r="D191" s="664">
        <v>26</v>
      </c>
      <c r="E191" t="str">
        <f>IF(OR(Table1[[#This Row],[Type]]=0,Table1[[#This Row],[Type]]&gt;=40),"JA","SD")</f>
        <v>SD</v>
      </c>
      <c r="F191" t="s">
        <v>1833</v>
      </c>
      <c r="G191" s="661" t="s">
        <v>2218</v>
      </c>
      <c r="J191" s="653" t="str">
        <f>IFERROR(VLOOKUP(ROWS($J$2:J191),$A$2:$B$996,2,FALSE),"")</f>
        <v/>
      </c>
    </row>
    <row r="192" spans="1:10" x14ac:dyDescent="0.2">
      <c r="A192">
        <f>IF(ISNUMBER(SEARCH(Cover!$H$13,Table1[[#This Row],[School District]])),MAX($A$1:A191)+1,0)</f>
        <v>0</v>
      </c>
      <c r="B192" s="661" t="s">
        <v>1207</v>
      </c>
      <c r="C192" s="1599">
        <v>32038249026</v>
      </c>
      <c r="D192" s="664">
        <v>26</v>
      </c>
      <c r="E192" t="str">
        <f>IF(OR(Table1[[#This Row],[Type]]=0,Table1[[#This Row],[Type]]&gt;=40),"JA","SD")</f>
        <v>SD</v>
      </c>
      <c r="F192" t="s">
        <v>1844</v>
      </c>
      <c r="G192" s="661" t="s">
        <v>2219</v>
      </c>
      <c r="J192" s="653" t="str">
        <f>IFERROR(VLOOKUP(ROWS($J$2:J192),$A$2:$B$996,2,FALSE),"")</f>
        <v/>
      </c>
    </row>
    <row r="193" spans="1:10" ht="15" customHeight="1" x14ac:dyDescent="0.2">
      <c r="A193">
        <f>IF(ISNUMBER(SEARCH(Cover!$H$13,Table1[[#This Row],[School District]])),MAX($A$1:A192)+1,0)</f>
        <v>0</v>
      </c>
      <c r="B193" s="661" t="s">
        <v>1065</v>
      </c>
      <c r="C193" s="1599">
        <v>47071161004</v>
      </c>
      <c r="D193" s="664">
        <v>4</v>
      </c>
      <c r="E193" t="str">
        <f>IF(OR(Table1[[#This Row],[Type]]=0,Table1[[#This Row],[Type]]&gt;=40),"JA","SD")</f>
        <v>SD</v>
      </c>
      <c r="F193" t="s">
        <v>1821</v>
      </c>
      <c r="G193" s="661" t="s">
        <v>2220</v>
      </c>
      <c r="J193" s="653" t="str">
        <f>IFERROR(VLOOKUP(ROWS($J$2:J193),$A$2:$B$996,2,FALSE),"")</f>
        <v/>
      </c>
    </row>
    <row r="194" spans="1:10" x14ac:dyDescent="0.2">
      <c r="A194">
        <f>IF(ISNUMBER(SEARCH(Cover!$H$13,Table1[[#This Row],[School District]])),MAX($A$1:A193)+1,0)</f>
        <v>0</v>
      </c>
      <c r="B194" s="661" t="s">
        <v>908</v>
      </c>
      <c r="C194" s="1599" t="s">
        <v>909</v>
      </c>
      <c r="D194" s="664">
        <v>26</v>
      </c>
      <c r="E194" t="str">
        <f>IF(OR(Table1[[#This Row],[Type]]=0,Table1[[#This Row],[Type]]&gt;=40),"JA","SD")</f>
        <v>SD</v>
      </c>
      <c r="F194" t="s">
        <v>1793</v>
      </c>
      <c r="G194" s="661" t="s">
        <v>2221</v>
      </c>
      <c r="J194" s="653" t="str">
        <f>IFERROR(VLOOKUP(ROWS($J$2:J194),$A$2:$B$996,2,FALSE),"")</f>
        <v/>
      </c>
    </row>
    <row r="195" spans="1:10" x14ac:dyDescent="0.2">
      <c r="A195">
        <f>IF(ISNUMBER(SEARCH(Cover!$H$13,Table1[[#This Row],[School District]])),MAX($A$1:A194)+1,0)</f>
        <v>0</v>
      </c>
      <c r="B195" s="661" t="s">
        <v>984</v>
      </c>
      <c r="C195" s="1599">
        <v>53090076002</v>
      </c>
      <c r="D195" s="664">
        <v>2</v>
      </c>
      <c r="E195" t="str">
        <f>IF(OR(Table1[[#This Row],[Type]]=0,Table1[[#This Row],[Type]]&gt;=40),"JA","SD")</f>
        <v>SD</v>
      </c>
      <c r="F195" t="s">
        <v>1847</v>
      </c>
      <c r="G195" s="661" t="s">
        <v>2222</v>
      </c>
      <c r="J195" s="653" t="str">
        <f>IFERROR(VLOOKUP(ROWS($J$2:J195),$A$2:$B$996,2,FALSE),"")</f>
        <v/>
      </c>
    </row>
    <row r="196" spans="1:10" x14ac:dyDescent="0.2">
      <c r="A196">
        <f>IF(ISNUMBER(SEARCH(Cover!$H$13,Table1[[#This Row],[School District]])),MAX($A$1:A195)+1,0)</f>
        <v>0</v>
      </c>
      <c r="B196" s="661" t="s">
        <v>1085</v>
      </c>
      <c r="C196" s="1599">
        <v>44063047004</v>
      </c>
      <c r="D196" s="664">
        <v>4</v>
      </c>
      <c r="E196" t="str">
        <f>IF(OR(Table1[[#This Row],[Type]]=0,Table1[[#This Row],[Type]]&gt;=40),"JA","SD")</f>
        <v>SD</v>
      </c>
      <c r="F196" t="s">
        <v>1769</v>
      </c>
      <c r="G196" s="661" t="s">
        <v>2223</v>
      </c>
      <c r="J196" s="653" t="str">
        <f>IFERROR(VLOOKUP(ROWS($J$2:J196),$A$2:$B$996,2,FALSE),"")</f>
        <v/>
      </c>
    </row>
    <row r="197" spans="1:10" x14ac:dyDescent="0.2">
      <c r="A197">
        <f>IF(ISNUMBER(SEARCH(Cover!$H$13,Table1[[#This Row],[School District]])),MAX($A$1:A196)+1,0)</f>
        <v>0</v>
      </c>
      <c r="B197" t="s">
        <v>1657</v>
      </c>
      <c r="C197" s="1599">
        <v>8089723045</v>
      </c>
      <c r="D197" s="664">
        <v>45</v>
      </c>
      <c r="E197" t="str">
        <f>IF(OR(Table1[[#This Row],[Type]]=0,Table1[[#This Row],[Type]]&gt;=40),"JA","SD")</f>
        <v>JA</v>
      </c>
      <c r="F197" t="s">
        <v>1870</v>
      </c>
      <c r="G197" s="661" t="s">
        <v>2224</v>
      </c>
      <c r="J197" s="653" t="str">
        <f>IFERROR(VLOOKUP(ROWS($J$2:J197),$A$2:$B$996,2,FALSE),"")</f>
        <v/>
      </c>
    </row>
    <row r="198" spans="1:10" x14ac:dyDescent="0.2">
      <c r="A198">
        <f>IF(ISNUMBER(SEARCH(Cover!$H$13,Table1[[#This Row],[School District]])),MAX($A$1:A197)+1,0)</f>
        <v>0</v>
      </c>
      <c r="B198" s="661" t="s">
        <v>1435</v>
      </c>
      <c r="C198" s="1599">
        <v>11018077026</v>
      </c>
      <c r="D198" s="664">
        <v>26</v>
      </c>
      <c r="E198" t="str">
        <f>IF(OR(Table1[[#This Row],[Type]]=0,Table1[[#This Row],[Type]]&gt;=40),"JA","SD")</f>
        <v>SD</v>
      </c>
      <c r="F198" t="s">
        <v>3161</v>
      </c>
      <c r="G198" s="661" t="s">
        <v>2225</v>
      </c>
      <c r="J198" s="653" t="str">
        <f>IFERROR(VLOOKUP(ROWS($J$2:J198),$A$2:$B$996,2,FALSE),"")</f>
        <v/>
      </c>
    </row>
    <row r="199" spans="1:10" x14ac:dyDescent="0.2">
      <c r="A199">
        <f>IF(ISNUMBER(SEARCH(Cover!$H$13,Table1[[#This Row],[School District]])),MAX($A$1:A198)+1,0)</f>
        <v>0</v>
      </c>
      <c r="B199" s="661" t="s">
        <v>1319</v>
      </c>
      <c r="C199" s="1599">
        <v>19022200026</v>
      </c>
      <c r="D199" s="664">
        <v>26</v>
      </c>
      <c r="E199" t="str">
        <f>IF(OR(Table1[[#This Row],[Type]]=0,Table1[[#This Row],[Type]]&gt;=40),"JA","SD")</f>
        <v>SD</v>
      </c>
      <c r="F199" t="s">
        <v>3143</v>
      </c>
      <c r="G199" s="661" t="s">
        <v>2226</v>
      </c>
      <c r="J199" s="653" t="str">
        <f>IFERROR(VLOOKUP(ROWS($J$2:J199),$A$2:$B$996,2,FALSE),"")</f>
        <v/>
      </c>
    </row>
    <row r="200" spans="1:10" x14ac:dyDescent="0.2">
      <c r="A200">
        <f>IF(ISNUMBER(SEARCH(Cover!$H$13,Table1[[#This Row],[School District]])),MAX($A$1:A199)+1,0)</f>
        <v>0</v>
      </c>
      <c r="B200" s="661" t="s">
        <v>1318</v>
      </c>
      <c r="C200" s="1599">
        <v>19022201026</v>
      </c>
      <c r="D200" s="664">
        <v>26</v>
      </c>
      <c r="E200" t="str">
        <f>IF(OR(Table1[[#This Row],[Type]]=0,Table1[[#This Row],[Type]]&gt;=40),"JA","SD")</f>
        <v>SD</v>
      </c>
      <c r="F200" t="s">
        <v>3143</v>
      </c>
      <c r="G200" s="661" t="s">
        <v>2227</v>
      </c>
      <c r="J200" s="653" t="str">
        <f>IFERROR(VLOOKUP(ROWS($J$2:J200),$A$2:$B$996,2,FALSE),"")</f>
        <v/>
      </c>
    </row>
    <row r="201" spans="1:10" x14ac:dyDescent="0.2">
      <c r="A201">
        <f>IF(ISNUMBER(SEARCH(Cover!$H$13,Table1[[#This Row],[School District]])),MAX($A$1:A200)+1,0)</f>
        <v>0</v>
      </c>
      <c r="B201" s="661" t="s">
        <v>1872</v>
      </c>
      <c r="C201" s="1599">
        <v>26029003026</v>
      </c>
      <c r="D201" s="664">
        <v>26</v>
      </c>
      <c r="E201" t="str">
        <f>IF(OR(Table1[[#This Row],[Type]]=0,Table1[[#This Row],[Type]]&gt;=40),"JA","SD")</f>
        <v>SD</v>
      </c>
      <c r="F201" t="s">
        <v>1786</v>
      </c>
      <c r="G201" s="661" t="s">
        <v>2228</v>
      </c>
      <c r="J201" s="653" t="str">
        <f>IFERROR(VLOOKUP(ROWS($J$2:J201),$A$2:$B$996,2,FALSE),"")</f>
        <v/>
      </c>
    </row>
    <row r="202" spans="1:10" x14ac:dyDescent="0.2">
      <c r="A202">
        <f>IF(ISNUMBER(SEARCH(Cover!$H$13,Table1[[#This Row],[School District]])),MAX($A$1:A201)+1,0)</f>
        <v>0</v>
      </c>
      <c r="B202" s="661" t="s">
        <v>1216</v>
      </c>
      <c r="C202" s="1599">
        <v>31045300026</v>
      </c>
      <c r="D202" s="664">
        <v>26</v>
      </c>
      <c r="E202" t="str">
        <f>IF(OR(Table1[[#This Row],[Type]]=0,Table1[[#This Row],[Type]]&gt;=40),"JA","SD")</f>
        <v>SD</v>
      </c>
      <c r="F202" t="s">
        <v>3162</v>
      </c>
      <c r="G202" s="661" t="s">
        <v>2229</v>
      </c>
      <c r="J202" s="653" t="str">
        <f>IFERROR(VLOOKUP(ROWS($J$2:J202),$A$2:$B$996,2,FALSE),"")</f>
        <v/>
      </c>
    </row>
    <row r="203" spans="1:10" x14ac:dyDescent="0.2">
      <c r="A203">
        <f>IF(ISNUMBER(SEARCH(Cover!$H$13,Table1[[#This Row],[School District]])),MAX($A$1:A202)+1,0)</f>
        <v>0</v>
      </c>
      <c r="B203" s="661" t="s">
        <v>1873</v>
      </c>
      <c r="C203" s="1599">
        <v>24047308026</v>
      </c>
      <c r="D203" s="664">
        <v>26</v>
      </c>
      <c r="E203" t="str">
        <f>IF(OR(Table1[[#This Row],[Type]]=0,Table1[[#This Row],[Type]]&gt;=40),"JA","SD")</f>
        <v>SD</v>
      </c>
      <c r="F203" t="s">
        <v>1874</v>
      </c>
      <c r="G203" s="661" t="s">
        <v>2230</v>
      </c>
      <c r="J203" s="653" t="str">
        <f>IFERROR(VLOOKUP(ROWS($J$2:J203),$A$2:$B$996,2,FALSE),"")</f>
        <v/>
      </c>
    </row>
    <row r="204" spans="1:10" x14ac:dyDescent="0.2">
      <c r="A204">
        <f>IF(ISNUMBER(SEARCH(Cover!$H$13,Table1[[#This Row],[School District]])),MAX($A$1:A203)+1,0)</f>
        <v>0</v>
      </c>
      <c r="B204" s="661" t="s">
        <v>1875</v>
      </c>
      <c r="C204" s="1599">
        <v>1001004026</v>
      </c>
      <c r="D204" s="664">
        <v>26</v>
      </c>
      <c r="E204" t="str">
        <f>IF(OR(Table1[[#This Row],[Type]]=0,Table1[[#This Row],[Type]]&gt;=40),"JA","SD")</f>
        <v>SD</v>
      </c>
      <c r="F204" t="s">
        <v>3163</v>
      </c>
      <c r="G204" s="661" t="s">
        <v>2231</v>
      </c>
      <c r="J204" s="653" t="str">
        <f>IFERROR(VLOOKUP(ROWS($J$2:J204),$A$2:$B$996,2,FALSE),"")</f>
        <v/>
      </c>
    </row>
    <row r="205" spans="1:10" x14ac:dyDescent="0.2">
      <c r="A205">
        <f>IF(ISNUMBER(SEARCH(Cover!$H$13,Table1[[#This Row],[School District]])),MAX($A$1:A204)+1,0)</f>
        <v>0</v>
      </c>
      <c r="B205" s="661" t="s">
        <v>1288</v>
      </c>
      <c r="C205" s="1599">
        <v>21044064002</v>
      </c>
      <c r="D205" s="664">
        <v>2</v>
      </c>
      <c r="E205" t="str">
        <f>IF(OR(Table1[[#This Row],[Type]]=0,Table1[[#This Row],[Type]]&gt;=40),"JA","SD")</f>
        <v>SD</v>
      </c>
      <c r="F205" t="s">
        <v>1816</v>
      </c>
      <c r="G205" s="661" t="s">
        <v>2232</v>
      </c>
      <c r="J205" s="653" t="str">
        <f>IFERROR(VLOOKUP(ROWS($J$2:J205),$A$2:$B$996,2,FALSE),"")</f>
        <v/>
      </c>
    </row>
    <row r="206" spans="1:10" x14ac:dyDescent="0.2">
      <c r="A206">
        <f>IF(ISNUMBER(SEARCH(Cover!$H$13,Table1[[#This Row],[School District]])),MAX($A$1:A205)+1,0)</f>
        <v>0</v>
      </c>
      <c r="B206" s="661" t="s">
        <v>1453</v>
      </c>
      <c r="C206" s="1599">
        <v>8089201026</v>
      </c>
      <c r="D206" s="664">
        <v>26</v>
      </c>
      <c r="E206" t="str">
        <f>IF(OR(Table1[[#This Row],[Type]]=0,Table1[[#This Row],[Type]]&gt;=40),"JA","SD")</f>
        <v>SD</v>
      </c>
      <c r="F206" t="s">
        <v>1870</v>
      </c>
      <c r="G206" s="661" t="s">
        <v>2233</v>
      </c>
      <c r="J206" s="653" t="str">
        <f>IFERROR(VLOOKUP(ROWS($J$2:J206),$A$2:$B$996,2,FALSE),"")</f>
        <v/>
      </c>
    </row>
    <row r="207" spans="1:10" x14ac:dyDescent="0.2">
      <c r="A207">
        <f>IF(ISNUMBER(SEARCH(Cover!$H$13,Table1[[#This Row],[School District]])),MAX($A$1:A206)+1,0)</f>
        <v>0</v>
      </c>
      <c r="B207" s="661" t="s">
        <v>1262</v>
      </c>
      <c r="C207" s="1599">
        <v>26034327004</v>
      </c>
      <c r="D207" s="664">
        <v>4</v>
      </c>
      <c r="E207" t="str">
        <f>IF(OR(Table1[[#This Row],[Type]]=0,Table1[[#This Row],[Type]]&gt;=40),"JA","SD")</f>
        <v>SD</v>
      </c>
      <c r="F207" t="s">
        <v>3164</v>
      </c>
      <c r="G207" s="661" t="s">
        <v>2234</v>
      </c>
      <c r="J207" s="653" t="str">
        <f>IFERROR(VLOOKUP(ROWS($J$2:J207),$A$2:$B$996,2,FALSE),"")</f>
        <v/>
      </c>
    </row>
    <row r="208" spans="1:10" x14ac:dyDescent="0.2">
      <c r="A208">
        <f>IF(ISNUMBER(SEARCH(Cover!$H$13,Table1[[#This Row],[School District]])),MAX($A$1:A207)+1,0)</f>
        <v>0</v>
      </c>
      <c r="B208" s="661" t="s">
        <v>1253</v>
      </c>
      <c r="C208" s="1599">
        <v>28006098002</v>
      </c>
      <c r="D208" s="664">
        <v>2</v>
      </c>
      <c r="E208" t="str">
        <f>IF(OR(Table1[[#This Row],[Type]]=0,Table1[[#This Row],[Type]]&gt;=40),"JA","SD")</f>
        <v>SD</v>
      </c>
      <c r="F208" t="s">
        <v>1818</v>
      </c>
      <c r="G208" s="661" t="s">
        <v>2235</v>
      </c>
      <c r="J208" s="653" t="str">
        <f>IFERROR(VLOOKUP(ROWS($J$2:J208),$A$2:$B$996,2,FALSE),"")</f>
        <v/>
      </c>
    </row>
    <row r="209" spans="1:10" x14ac:dyDescent="0.2">
      <c r="A209">
        <f>IF(ISNUMBER(SEARCH(Cover!$H$13,Table1[[#This Row],[School District]])),MAX($A$1:A208)+1,0)</f>
        <v>0</v>
      </c>
      <c r="B209" s="661" t="s">
        <v>1876</v>
      </c>
      <c r="C209" s="1599">
        <v>13014062002</v>
      </c>
      <c r="D209" s="664">
        <v>2</v>
      </c>
      <c r="E209" t="str">
        <f>IF(OR(Table1[[#This Row],[Type]]=0,Table1[[#This Row],[Type]]&gt;=40),"JA","SD")</f>
        <v>SD</v>
      </c>
      <c r="F209" t="s">
        <v>1768</v>
      </c>
      <c r="G209" s="661" t="s">
        <v>2236</v>
      </c>
      <c r="J209" s="653" t="str">
        <f>IFERROR(VLOOKUP(ROWS($J$2:J209),$A$2:$B$996,2,FALSE),"")</f>
        <v/>
      </c>
    </row>
    <row r="210" spans="1:10" x14ac:dyDescent="0.2">
      <c r="A210">
        <f>IF(ISNUMBER(SEARCH(Cover!$H$13,Table1[[#This Row],[School District]])),MAX($A$1:A209)+1,0)</f>
        <v>0</v>
      </c>
      <c r="B210" s="661" t="s">
        <v>959</v>
      </c>
      <c r="C210" s="1599">
        <v>54092118024</v>
      </c>
      <c r="D210" s="664">
        <v>24</v>
      </c>
      <c r="E210" t="str">
        <f>IF(OR(Table1[[#This Row],[Type]]=0,Table1[[#This Row],[Type]]&gt;=40),"JA","SD")</f>
        <v>SD</v>
      </c>
      <c r="F210" t="s">
        <v>1783</v>
      </c>
      <c r="G210" s="661" t="s">
        <v>2237</v>
      </c>
      <c r="J210" s="653" t="str">
        <f>IFERROR(VLOOKUP(ROWS($J$2:J210),$A$2:$B$996,2,FALSE),"")</f>
        <v/>
      </c>
    </row>
    <row r="211" spans="1:10" x14ac:dyDescent="0.2">
      <c r="A211">
        <f>IF(ISNUMBER(SEARCH(Cover!$H$13,Table1[[#This Row],[School District]])),MAX($A$1:A210)+1,0)</f>
        <v>0</v>
      </c>
      <c r="B211" s="661" t="s">
        <v>1330</v>
      </c>
      <c r="C211" s="1599">
        <v>19022061002</v>
      </c>
      <c r="D211" s="664">
        <v>2</v>
      </c>
      <c r="E211" t="str">
        <f>IF(OR(Table1[[#This Row],[Type]]=0,Table1[[#This Row],[Type]]&gt;=40),"JA","SD")</f>
        <v>SD</v>
      </c>
      <c r="F211" t="s">
        <v>3143</v>
      </c>
      <c r="G211" s="661" t="s">
        <v>2238</v>
      </c>
      <c r="J211" s="653" t="str">
        <f>IFERROR(VLOOKUP(ROWS($J$2:J211),$A$2:$B$996,2,FALSE),"")</f>
        <v/>
      </c>
    </row>
    <row r="212" spans="1:10" x14ac:dyDescent="0.2">
      <c r="A212">
        <f>IF(ISNUMBER(SEARCH(Cover!$H$13,Table1[[#This Row],[School District]])),MAX($A$1:A211)+1,0)</f>
        <v>0</v>
      </c>
      <c r="B212" s="661" t="s">
        <v>1120</v>
      </c>
      <c r="C212" s="1599">
        <v>39055061025</v>
      </c>
      <c r="D212" s="664">
        <v>25</v>
      </c>
      <c r="E212" t="str">
        <f>IF(OR(Table1[[#This Row],[Type]]=0,Table1[[#This Row],[Type]]&gt;=40),"JA","SD")</f>
        <v>SD</v>
      </c>
      <c r="F212" t="s">
        <v>1782</v>
      </c>
      <c r="G212" s="661" t="s">
        <v>2239</v>
      </c>
      <c r="J212" s="653" t="str">
        <f>IFERROR(VLOOKUP(ROWS($J$2:J212),$A$2:$B$996,2,FALSE),"")</f>
        <v/>
      </c>
    </row>
    <row r="213" spans="1:10" x14ac:dyDescent="0.2">
      <c r="A213">
        <f>IF(ISNUMBER(SEARCH(Cover!$H$13,Table1[[#This Row],[School District]])),MAX($A$1:A212)+1,0)</f>
        <v>0</v>
      </c>
      <c r="B213" s="661" t="s">
        <v>975</v>
      </c>
      <c r="C213" s="1599">
        <v>53090701026</v>
      </c>
      <c r="D213" s="664">
        <v>26</v>
      </c>
      <c r="E213" t="str">
        <f>IF(OR(Table1[[#This Row],[Type]]=0,Table1[[#This Row],[Type]]&gt;=40),"JA","SD")</f>
        <v>SD</v>
      </c>
      <c r="F213" t="s">
        <v>3259</v>
      </c>
      <c r="G213" s="661" t="s">
        <v>2240</v>
      </c>
      <c r="J213" s="653" t="str">
        <f>IFERROR(VLOOKUP(ROWS($J$2:J213),$A$2:$B$996,2,FALSE),"")</f>
        <v/>
      </c>
    </row>
    <row r="214" spans="1:10" x14ac:dyDescent="0.2">
      <c r="A214">
        <f>IF(ISNUMBER(SEARCH(Cover!$H$13,Table1[[#This Row],[School District]])),MAX($A$1:A213)+1,0)</f>
        <v>0</v>
      </c>
      <c r="B214" s="661" t="s">
        <v>1140</v>
      </c>
      <c r="C214" s="1599">
        <v>35050082004</v>
      </c>
      <c r="D214" s="664">
        <v>4</v>
      </c>
      <c r="E214" t="str">
        <f>IF(OR(Table1[[#This Row],[Type]]=0,Table1[[#This Row],[Type]]&gt;=40),"JA","SD")</f>
        <v>SD</v>
      </c>
      <c r="F214" t="s">
        <v>3165</v>
      </c>
      <c r="G214" s="661" t="s">
        <v>2241</v>
      </c>
      <c r="J214" s="653" t="str">
        <f>IFERROR(VLOOKUP(ROWS($J$2:J214),$A$2:$B$996,2,FALSE),"")</f>
        <v/>
      </c>
    </row>
    <row r="215" spans="1:10" ht="15" customHeight="1" x14ac:dyDescent="0.2">
      <c r="A215">
        <f>IF(ISNUMBER(SEARCH(Cover!$H$13,Table1[[#This Row],[School District]])),MAX($A$1:A214)+1,0)</f>
        <v>0</v>
      </c>
      <c r="B215" s="661" t="s">
        <v>1162</v>
      </c>
      <c r="C215" s="1599">
        <v>34049109002</v>
      </c>
      <c r="D215" s="664">
        <v>2</v>
      </c>
      <c r="E215" t="str">
        <f>IF(OR(Table1[[#This Row],[Type]]=0,Table1[[#This Row],[Type]]&gt;=40),"JA","SD")</f>
        <v>SD</v>
      </c>
      <c r="F215" t="s">
        <v>1765</v>
      </c>
      <c r="G215" s="661" t="s">
        <v>2242</v>
      </c>
      <c r="J215" s="653" t="str">
        <f>IFERROR(VLOOKUP(ROWS($J$2:J215),$A$2:$B$996,2,FALSE),"")</f>
        <v/>
      </c>
    </row>
    <row r="216" spans="1:10" x14ac:dyDescent="0.2">
      <c r="A216">
        <f>IF(ISNUMBER(SEARCH(Cover!$H$13,Table1[[#This Row],[School District]])),MAX($A$1:A215)+1,0)</f>
        <v>0</v>
      </c>
      <c r="B216" s="661" t="s">
        <v>1375</v>
      </c>
      <c r="C216" s="1599">
        <v>16019428026</v>
      </c>
      <c r="D216" s="664">
        <v>26</v>
      </c>
      <c r="E216" t="str">
        <f>IF(OR(Table1[[#This Row],[Type]]=0,Table1[[#This Row],[Type]]&gt;=40),"JA","SD")</f>
        <v>SD</v>
      </c>
      <c r="F216" t="s">
        <v>1932</v>
      </c>
      <c r="G216" s="661" t="s">
        <v>2243</v>
      </c>
      <c r="J216" s="653" t="str">
        <f>IFERROR(VLOOKUP(ROWS($J$2:J216),$A$2:$B$996,2,FALSE),"")</f>
        <v/>
      </c>
    </row>
    <row r="217" spans="1:10" x14ac:dyDescent="0.2">
      <c r="A217">
        <f>IF(ISNUMBER(SEARCH(Cover!$H$13,Table1[[#This Row],[School District]])),MAX($A$1:A216)+1,0)</f>
        <v>0</v>
      </c>
      <c r="B217" t="s">
        <v>1699</v>
      </c>
      <c r="C217" s="1599">
        <v>33094729045</v>
      </c>
      <c r="D217" s="664">
        <v>45</v>
      </c>
      <c r="E217" t="str">
        <f>IF(OR(Table1[[#This Row],[Type]]=0,Table1[[#This Row],[Type]]&gt;=40),"JA","SD")</f>
        <v>JA</v>
      </c>
      <c r="F217" t="s">
        <v>1761</v>
      </c>
      <c r="G217" s="661" t="s">
        <v>2244</v>
      </c>
      <c r="J217" s="653" t="str">
        <f>IFERROR(VLOOKUP(ROWS($J$2:J217),$A$2:$B$996,2,FALSE),"")</f>
        <v/>
      </c>
    </row>
    <row r="218" spans="1:10" x14ac:dyDescent="0.2">
      <c r="A218">
        <f>IF(ISNUMBER(SEARCH(Cover!$H$13,Table1[[#This Row],[School District]])),MAX($A$1:A217)+1,0)</f>
        <v>0</v>
      </c>
      <c r="B218" s="661" t="s">
        <v>1879</v>
      </c>
      <c r="C218" s="1599">
        <v>39074057026</v>
      </c>
      <c r="D218" s="664">
        <v>26</v>
      </c>
      <c r="E218" t="str">
        <f>IF(OR(Table1[[#This Row],[Type]]=0,Table1[[#This Row],[Type]]&gt;=40),"JA","SD")</f>
        <v>SD</v>
      </c>
      <c r="F218" t="s">
        <v>1795</v>
      </c>
      <c r="G218" s="661" t="s">
        <v>2245</v>
      </c>
      <c r="J218" s="653" t="str">
        <f>IFERROR(VLOOKUP(ROWS($J$2:J218),$A$2:$B$996,2,FALSE),"")</f>
        <v/>
      </c>
    </row>
    <row r="219" spans="1:10" ht="15" customHeight="1" x14ac:dyDescent="0.2">
      <c r="A219">
        <f>IF(ISNUMBER(SEARCH(Cover!$H$13,Table1[[#This Row],[School District]])),MAX($A$1:A218)+1,0)</f>
        <v>0</v>
      </c>
      <c r="B219" s="661" t="s">
        <v>973</v>
      </c>
      <c r="C219" s="1599">
        <v>53090703026</v>
      </c>
      <c r="D219" s="664">
        <v>26</v>
      </c>
      <c r="E219" t="str">
        <f>IF(OR(Table1[[#This Row],[Type]]=0,Table1[[#This Row],[Type]]&gt;=40),"JA","SD")</f>
        <v>SD</v>
      </c>
      <c r="F219" t="s">
        <v>1847</v>
      </c>
      <c r="G219" s="661" t="s">
        <v>2246</v>
      </c>
      <c r="J219" s="653" t="str">
        <f>IFERROR(VLOOKUP(ROWS($J$2:J219),$A$2:$B$996,2,FALSE),"")</f>
        <v/>
      </c>
    </row>
    <row r="220" spans="1:10" x14ac:dyDescent="0.2">
      <c r="A220">
        <f>IF(ISNUMBER(SEARCH(Cover!$H$13,Table1[[#This Row],[School District]])),MAX($A$1:A219)+1,0)</f>
        <v>0</v>
      </c>
      <c r="B220" s="661" t="s">
        <v>1251</v>
      </c>
      <c r="C220" s="1599">
        <v>28006103022</v>
      </c>
      <c r="D220" s="664">
        <v>22</v>
      </c>
      <c r="E220" t="str">
        <f>IF(OR(Table1[[#This Row],[Type]]=0,Table1[[#This Row],[Type]]&gt;=40),"JA","SD")</f>
        <v>SD</v>
      </c>
      <c r="F220" t="s">
        <v>1818</v>
      </c>
      <c r="G220" s="661" t="s">
        <v>2247</v>
      </c>
      <c r="J220" s="653" t="str">
        <f>IFERROR(VLOOKUP(ROWS($J$2:J220),$A$2:$B$996,2,FALSE),"")</f>
        <v/>
      </c>
    </row>
    <row r="221" spans="1:10" x14ac:dyDescent="0.2">
      <c r="A221">
        <f>IF(ISNUMBER(SEARCH(Cover!$H$13,Table1[[#This Row],[School District]])),MAX($A$1:A220)+1,0)</f>
        <v>0</v>
      </c>
      <c r="B221" t="s">
        <v>1645</v>
      </c>
      <c r="C221" s="1599">
        <v>6016212046</v>
      </c>
      <c r="D221" s="664">
        <v>46</v>
      </c>
      <c r="E221" t="str">
        <f>IF(OR(Table1[[#This Row],[Type]]=0,Table1[[#This Row],[Type]]&gt;=40),"JA","SD")</f>
        <v>JA</v>
      </c>
      <c r="F221" t="s">
        <v>1766</v>
      </c>
      <c r="G221" s="661" t="s">
        <v>2248</v>
      </c>
      <c r="J221" s="653" t="str">
        <f>IFERROR(VLOOKUP(ROWS($J$2:J221),$A$2:$B$996,2,FALSE),"")</f>
        <v/>
      </c>
    </row>
    <row r="222" spans="1:10" x14ac:dyDescent="0.2">
      <c r="A222">
        <f>IF(ISNUMBER(SEARCH(Cover!$H$13,Table1[[#This Row],[School District]])),MAX($A$1:A221)+1,0)</f>
        <v>0</v>
      </c>
      <c r="B222" s="661" t="s">
        <v>1880</v>
      </c>
      <c r="C222" s="1599">
        <v>30039086003</v>
      </c>
      <c r="D222" s="664">
        <v>3</v>
      </c>
      <c r="E222" t="str">
        <f>IF(OR(Table1[[#This Row],[Type]]=0,Table1[[#This Row],[Type]]&gt;=40),"JA","SD")</f>
        <v>SD</v>
      </c>
      <c r="F222" t="s">
        <v>1824</v>
      </c>
      <c r="G222" s="661" t="s">
        <v>2249</v>
      </c>
      <c r="J222" s="653" t="str">
        <f>IFERROR(VLOOKUP(ROWS($J$2:J222),$A$2:$B$996,2,FALSE),"")</f>
        <v/>
      </c>
    </row>
    <row r="223" spans="1:10" x14ac:dyDescent="0.2">
      <c r="A223">
        <f>IF(ISNUMBER(SEARCH(Cover!$H$13,Table1[[#This Row],[School District]])),MAX($A$1:A222)+1,0)</f>
        <v>0</v>
      </c>
      <c r="B223" s="661" t="s">
        <v>1169</v>
      </c>
      <c r="C223" s="1599">
        <v>34049076002</v>
      </c>
      <c r="D223" s="664">
        <v>2</v>
      </c>
      <c r="E223" t="str">
        <f>IF(OR(Table1[[#This Row],[Type]]=0,Table1[[#This Row],[Type]]&gt;=40),"JA","SD")</f>
        <v>SD</v>
      </c>
      <c r="F223" t="s">
        <v>1765</v>
      </c>
      <c r="G223" s="661" t="s">
        <v>2250</v>
      </c>
      <c r="J223" s="653" t="str">
        <f>IFERROR(VLOOKUP(ROWS($J$2:J223),$A$2:$B$996,2,FALSE),"")</f>
        <v/>
      </c>
    </row>
    <row r="224" spans="1:10" x14ac:dyDescent="0.2">
      <c r="A224">
        <f>IF(ISNUMBER(SEARCH(Cover!$H$13,Table1[[#This Row],[School District]])),MAX($A$1:A223)+1,0)</f>
        <v>0</v>
      </c>
      <c r="B224" s="661" t="s">
        <v>1608</v>
      </c>
      <c r="C224" s="1599">
        <v>3025030026</v>
      </c>
      <c r="D224" s="664">
        <v>26</v>
      </c>
      <c r="E224" t="str">
        <f>IF(OR(Table1[[#This Row],[Type]]=0,Table1[[#This Row],[Type]]&gt;=40),"JA","SD")</f>
        <v>SD</v>
      </c>
      <c r="F224" t="s">
        <v>1773</v>
      </c>
      <c r="G224" s="661" t="s">
        <v>2251</v>
      </c>
      <c r="J224" s="653" t="str">
        <f>IFERROR(VLOOKUP(ROWS($J$2:J224),$A$2:$B$996,2,FALSE),"")</f>
        <v/>
      </c>
    </row>
    <row r="225" spans="1:10" x14ac:dyDescent="0.2">
      <c r="A225">
        <f>IF(ISNUMBER(SEARCH(Cover!$H$13,Table1[[#This Row],[School District]])),MAX($A$1:A224)+1,0)</f>
        <v>0</v>
      </c>
      <c r="B225" s="702" t="s">
        <v>3253</v>
      </c>
      <c r="C225" s="1599">
        <v>35050017504</v>
      </c>
      <c r="D225" s="664">
        <v>4</v>
      </c>
      <c r="E225" t="str">
        <f>IF(OR(Table1[[#This Row],[Type]]=0,Table1[[#This Row],[Type]]&gt;=40),"JA","SD")</f>
        <v>SD</v>
      </c>
      <c r="F225" t="s">
        <v>3166</v>
      </c>
      <c r="G225" s="661" t="s">
        <v>2252</v>
      </c>
      <c r="J225" s="653" t="str">
        <f>IFERROR(VLOOKUP(ROWS($J$2:J225),$A$2:$B$996,2,FALSE),"")</f>
        <v/>
      </c>
    </row>
    <row r="226" spans="1:10" x14ac:dyDescent="0.2">
      <c r="A226">
        <f>IF(ISNUMBER(SEARCH(Cover!$H$13,Table1[[#This Row],[School District]])),MAX($A$1:A225)+1,0)</f>
        <v>0</v>
      </c>
      <c r="B226" s="661" t="s">
        <v>987</v>
      </c>
      <c r="C226" s="1599">
        <v>53090050002</v>
      </c>
      <c r="D226" s="664">
        <v>2</v>
      </c>
      <c r="E226" t="str">
        <f>IF(OR(Table1[[#This Row],[Type]]=0,Table1[[#This Row],[Type]]&gt;=40),"JA","SD")</f>
        <v>SD</v>
      </c>
      <c r="F226" t="s">
        <v>1847</v>
      </c>
      <c r="G226" s="661" t="s">
        <v>2253</v>
      </c>
      <c r="J226" s="653" t="str">
        <f>IFERROR(VLOOKUP(ROWS($J$2:J226),$A$2:$B$996,2,FALSE),"")</f>
        <v/>
      </c>
    </row>
    <row r="227" spans="1:10" x14ac:dyDescent="0.2">
      <c r="A227">
        <f>IF(ISNUMBER(SEARCH(Cover!$H$13,Table1[[#This Row],[School District]])),MAX($A$1:A226)+1,0)</f>
        <v>0</v>
      </c>
      <c r="B227" s="661" t="s">
        <v>1070</v>
      </c>
      <c r="C227" s="1599">
        <v>47052170022</v>
      </c>
      <c r="D227" s="664">
        <v>22</v>
      </c>
      <c r="E227" t="str">
        <f>IF(OR(Table1[[#This Row],[Type]]=0,Table1[[#This Row],[Type]]&gt;=40),"JA","SD")</f>
        <v>SD</v>
      </c>
      <c r="F227" t="s">
        <v>3260</v>
      </c>
      <c r="G227" s="661" t="s">
        <v>2254</v>
      </c>
      <c r="J227" s="653" t="str">
        <f>IFERROR(VLOOKUP(ROWS($J$2:J227),$A$2:$B$996,2,FALSE),"")</f>
        <v/>
      </c>
    </row>
    <row r="228" spans="1:10" x14ac:dyDescent="0.2">
      <c r="A228">
        <f>IF(ISNUMBER(SEARCH(Cover!$H$13,Table1[[#This Row],[School District]])),MAX($A$1:A227)+1,0)</f>
        <v>0</v>
      </c>
      <c r="B228" s="661" t="s">
        <v>1497</v>
      </c>
      <c r="C228" s="1599">
        <v>7016148002</v>
      </c>
      <c r="D228" s="664">
        <v>2</v>
      </c>
      <c r="E228" t="str">
        <f>IF(OR(Table1[[#This Row],[Type]]=0,Table1[[#This Row],[Type]]&gt;=40),"JA","SD")</f>
        <v>SD</v>
      </c>
      <c r="F228" t="s">
        <v>1766</v>
      </c>
      <c r="G228" s="661" t="s">
        <v>2255</v>
      </c>
      <c r="J228" s="653" t="str">
        <f>IFERROR(VLOOKUP(ROWS($J$2:J228),$A$2:$B$996,2,FALSE),"")</f>
        <v/>
      </c>
    </row>
    <row r="229" spans="1:10" x14ac:dyDescent="0.2">
      <c r="A229">
        <f>IF(ISNUMBER(SEARCH(Cover!$H$13,Table1[[#This Row],[School District]])),MAX($A$1:A228)+1,0)</f>
        <v>0</v>
      </c>
      <c r="B229" s="661" t="s">
        <v>1496</v>
      </c>
      <c r="C229" s="1599">
        <v>7016149002</v>
      </c>
      <c r="D229" s="664">
        <v>2</v>
      </c>
      <c r="E229" t="str">
        <f>IF(OR(Table1[[#This Row],[Type]]=0,Table1[[#This Row],[Type]]&gt;=40),"JA","SD")</f>
        <v>SD</v>
      </c>
      <c r="F229" t="s">
        <v>1766</v>
      </c>
      <c r="G229" s="661" t="s">
        <v>2256</v>
      </c>
      <c r="J229" s="653" t="str">
        <f>IFERROR(VLOOKUP(ROWS($J$2:J229),$A$2:$B$996,2,FALSE),"")</f>
        <v/>
      </c>
    </row>
    <row r="230" spans="1:10" x14ac:dyDescent="0.2">
      <c r="A230">
        <f>IF(ISNUMBER(SEARCH(Cover!$H$13,Table1[[#This Row],[School District]])),MAX($A$1:A229)+1,0)</f>
        <v>0</v>
      </c>
      <c r="B230" s="661" t="s">
        <v>1222</v>
      </c>
      <c r="C230" s="1599">
        <v>30091066022</v>
      </c>
      <c r="D230" s="664">
        <v>22</v>
      </c>
      <c r="E230" t="str">
        <f>IF(OR(Table1[[#This Row],[Type]]=0,Table1[[#This Row],[Type]]&gt;=40),"JA","SD")</f>
        <v>SD</v>
      </c>
      <c r="F230" t="s">
        <v>3167</v>
      </c>
      <c r="G230" s="661" t="s">
        <v>2257</v>
      </c>
      <c r="J230" s="653" t="str">
        <f>IFERROR(VLOOKUP(ROWS($J$2:J230),$A$2:$B$996,2,FALSE),"")</f>
        <v/>
      </c>
    </row>
    <row r="231" spans="1:10" x14ac:dyDescent="0.2">
      <c r="A231">
        <f>IF(ISNUMBER(SEARCH(Cover!$H$13,Table1[[#This Row],[School District]])),MAX($A$1:A230)+1,0)</f>
        <v>0</v>
      </c>
      <c r="B231" s="661" t="s">
        <v>1211</v>
      </c>
      <c r="C231" s="1599">
        <v>32038003026</v>
      </c>
      <c r="D231" s="664">
        <v>26</v>
      </c>
      <c r="E231" t="str">
        <f>IF(OR(Table1[[#This Row],[Type]]=0,Table1[[#This Row],[Type]]&gt;=40),"JA","SD")</f>
        <v>SD</v>
      </c>
      <c r="F231" t="s">
        <v>1844</v>
      </c>
      <c r="G231" s="661" t="s">
        <v>2258</v>
      </c>
      <c r="J231" s="653" t="str">
        <f>IFERROR(VLOOKUP(ROWS($J$2:J231),$A$2:$B$996,2,FALSE),"")</f>
        <v/>
      </c>
    </row>
    <row r="232" spans="1:10" ht="15" customHeight="1" x14ac:dyDescent="0.2">
      <c r="A232">
        <f>IF(ISNUMBER(SEARCH(Cover!$H$13,Table1[[#This Row],[School District]])),MAX($A$1:A231)+1,0)</f>
        <v>0</v>
      </c>
      <c r="B232" s="661" t="s">
        <v>1881</v>
      </c>
      <c r="C232" s="1599">
        <v>19022058002</v>
      </c>
      <c r="D232" s="664">
        <v>2</v>
      </c>
      <c r="E232" t="str">
        <f>IF(OR(Table1[[#This Row],[Type]]=0,Table1[[#This Row],[Type]]&gt;=40),"JA","SD")</f>
        <v>SD</v>
      </c>
      <c r="F232" t="s">
        <v>1764</v>
      </c>
      <c r="G232" s="661" t="s">
        <v>2259</v>
      </c>
      <c r="J232" s="653" t="str">
        <f>IFERROR(VLOOKUP(ROWS($J$2:J232),$A$2:$B$996,2,FALSE),"")</f>
        <v/>
      </c>
    </row>
    <row r="233" spans="1:10" x14ac:dyDescent="0.2">
      <c r="A233">
        <f>IF(ISNUMBER(SEARCH(Cover!$H$13,Table1[[#This Row],[School District]])),MAX($A$1:A232)+1,0)</f>
        <v>0</v>
      </c>
      <c r="B233" s="661" t="s">
        <v>1882</v>
      </c>
      <c r="C233" s="1599">
        <v>30073300026</v>
      </c>
      <c r="D233" s="664">
        <v>26</v>
      </c>
      <c r="E233" t="str">
        <f>IF(OR(Table1[[#This Row],[Type]]=0,Table1[[#This Row],[Type]]&gt;=40),"JA","SD")</f>
        <v>SD</v>
      </c>
      <c r="F233" t="s">
        <v>1837</v>
      </c>
      <c r="G233" s="661" t="s">
        <v>2260</v>
      </c>
      <c r="J233" s="653" t="str">
        <f>IFERROR(VLOOKUP(ROWS($J$2:J233),$A$2:$B$996,2,FALSE),"")</f>
        <v/>
      </c>
    </row>
    <row r="234" spans="1:10" x14ac:dyDescent="0.2">
      <c r="A234">
        <f>IF(ISNUMBER(SEARCH(Cover!$H$13,Table1[[#This Row],[School District]])),MAX($A$1:A233)+1,0)</f>
        <v>0</v>
      </c>
      <c r="B234" s="661" t="s">
        <v>1038</v>
      </c>
      <c r="C234" s="1599">
        <v>48072323026</v>
      </c>
      <c r="D234" s="664">
        <v>26</v>
      </c>
      <c r="E234" t="str">
        <f>IF(OR(Table1[[#This Row],[Type]]=0,Table1[[#This Row],[Type]]&gt;=40),"JA","SD")</f>
        <v>SD</v>
      </c>
      <c r="F234" t="s">
        <v>1790</v>
      </c>
      <c r="G234" s="661" t="s">
        <v>2261</v>
      </c>
      <c r="J234" s="653" t="str">
        <f>IFERROR(VLOOKUP(ROWS($J$2:J234),$A$2:$B$996,2,FALSE),"")</f>
        <v/>
      </c>
    </row>
    <row r="235" spans="1:10" x14ac:dyDescent="0.2">
      <c r="A235">
        <f>IF(ISNUMBER(SEARCH(Cover!$H$13,Table1[[#This Row],[School District]])),MAX($A$1:A234)+1,0)</f>
        <v>0</v>
      </c>
      <c r="B235" t="s">
        <v>1883</v>
      </c>
      <c r="C235" s="1599">
        <v>19022502046</v>
      </c>
      <c r="D235" s="664">
        <v>46</v>
      </c>
      <c r="E235" t="str">
        <f>IF(OR(Table1[[#This Row],[Type]]=0,Table1[[#This Row],[Type]]&gt;=40),"JA","SD")</f>
        <v>JA</v>
      </c>
      <c r="F235" t="s">
        <v>3143</v>
      </c>
      <c r="G235" s="661" t="s">
        <v>2262</v>
      </c>
      <c r="J235" s="653" t="str">
        <f>IFERROR(VLOOKUP(ROWS($J$2:J235),$A$2:$B$996,2,FALSE),"")</f>
        <v/>
      </c>
    </row>
    <row r="236" spans="1:10" x14ac:dyDescent="0.2">
      <c r="A236">
        <f>IF(ISNUMBER(SEARCH(Cover!$H$13,Table1[[#This Row],[School District]])),MAX($A$1:A235)+1,0)</f>
        <v>0</v>
      </c>
      <c r="B236" s="661" t="s">
        <v>1884</v>
      </c>
      <c r="C236" s="1599">
        <v>19022088016</v>
      </c>
      <c r="D236" s="664">
        <v>16</v>
      </c>
      <c r="E236" t="str">
        <f>IF(OR(Table1[[#This Row],[Type]]=0,Table1[[#This Row],[Type]]&gt;=40),"JA","SD")</f>
        <v>SD</v>
      </c>
      <c r="F236" t="s">
        <v>3143</v>
      </c>
      <c r="G236" s="661" t="s">
        <v>2263</v>
      </c>
      <c r="J236" s="653" t="str">
        <f>IFERROR(VLOOKUP(ROWS($J$2:J236),$A$2:$B$996,2,FALSE),"")</f>
        <v/>
      </c>
    </row>
    <row r="237" spans="1:10" x14ac:dyDescent="0.2">
      <c r="A237">
        <f>IF(ISNUMBER(SEARCH(Cover!$H$13,Table1[[#This Row],[School District]])),MAX($A$1:A236)+1,0)</f>
        <v>0</v>
      </c>
      <c r="B237" s="661" t="s">
        <v>1004</v>
      </c>
      <c r="C237" s="1599">
        <v>50082196026</v>
      </c>
      <c r="D237" s="664">
        <v>26</v>
      </c>
      <c r="E237" t="str">
        <f>IF(OR(Table1[[#This Row],[Type]]=0,Table1[[#This Row],[Type]]&gt;=40),"JA","SD")</f>
        <v>SD</v>
      </c>
      <c r="F237" t="s">
        <v>3134</v>
      </c>
      <c r="G237" s="661" t="s">
        <v>2264</v>
      </c>
      <c r="J237" s="653" t="str">
        <f>IFERROR(VLOOKUP(ROWS($J$2:J237),$A$2:$B$996,2,FALSE),"")</f>
        <v/>
      </c>
    </row>
    <row r="238" spans="1:10" x14ac:dyDescent="0.2">
      <c r="A238">
        <f>IF(ISNUMBER(SEARCH(Cover!$H$13,Table1[[#This Row],[School District]])),MAX($A$1:A237)+1,0)</f>
        <v>0</v>
      </c>
      <c r="B238" s="661" t="s">
        <v>1589</v>
      </c>
      <c r="C238" s="1599">
        <v>4101322026</v>
      </c>
      <c r="D238" s="664">
        <v>26</v>
      </c>
      <c r="E238" t="str">
        <f>IF(OR(Table1[[#This Row],[Type]]=0,Table1[[#This Row],[Type]]&gt;=40),"JA","SD")</f>
        <v>SD</v>
      </c>
      <c r="F238" t="s">
        <v>3168</v>
      </c>
      <c r="G238" s="661" t="s">
        <v>2265</v>
      </c>
      <c r="J238" s="653" t="str">
        <f>IFERROR(VLOOKUP(ROWS($J$2:J238),$A$2:$B$996,2,FALSE),"")</f>
        <v/>
      </c>
    </row>
    <row r="239" spans="1:10" ht="15" customHeight="1" x14ac:dyDescent="0.2">
      <c r="A239">
        <f>IF(ISNUMBER(SEARCH(Cover!$H$13,Table1[[#This Row],[School District]])),MAX($A$1:A238)+1,0)</f>
        <v>0</v>
      </c>
      <c r="B239" s="661" t="s">
        <v>1365</v>
      </c>
      <c r="C239" s="1599">
        <v>17053232002</v>
      </c>
      <c r="D239" s="664">
        <v>2</v>
      </c>
      <c r="E239" t="str">
        <f>IF(OR(Table1[[#This Row],[Type]]=0,Table1[[#This Row],[Type]]&gt;=40),"JA","SD")</f>
        <v>SD</v>
      </c>
      <c r="F239" t="s">
        <v>1866</v>
      </c>
      <c r="G239" s="661" t="s">
        <v>2266</v>
      </c>
      <c r="J239" s="653" t="str">
        <f>IFERROR(VLOOKUP(ROWS($J$2:J239),$A$2:$B$996,2,FALSE),"")</f>
        <v/>
      </c>
    </row>
    <row r="240" spans="1:10" x14ac:dyDescent="0.2">
      <c r="A240">
        <f>IF(ISNUMBER(SEARCH(Cover!$H$13,Table1[[#This Row],[School District]])),MAX($A$1:A239)+1,0)</f>
        <v>0</v>
      </c>
      <c r="B240" s="661" t="s">
        <v>1366</v>
      </c>
      <c r="C240" s="1599">
        <v>17053230017</v>
      </c>
      <c r="D240" s="664">
        <v>17</v>
      </c>
      <c r="E240" t="str">
        <f>IF(OR(Table1[[#This Row],[Type]]=0,Table1[[#This Row],[Type]]&gt;=40),"JA","SD")</f>
        <v>SD</v>
      </c>
      <c r="F240" t="s">
        <v>1866</v>
      </c>
      <c r="G240" s="661" t="s">
        <v>2267</v>
      </c>
      <c r="J240" s="653" t="str">
        <f>IFERROR(VLOOKUP(ROWS($J$2:J240),$A$2:$B$996,2,FALSE),"")</f>
        <v/>
      </c>
    </row>
    <row r="241" spans="1:10" x14ac:dyDescent="0.2">
      <c r="A241">
        <f>IF(ISNUMBER(SEARCH(Cover!$H$13,Table1[[#This Row],[School District]])),MAX($A$1:A240)+1,0)</f>
        <v>0</v>
      </c>
      <c r="B241" t="s">
        <v>1743</v>
      </c>
      <c r="C241" s="1599">
        <v>8000000046</v>
      </c>
      <c r="D241" s="664">
        <v>46</v>
      </c>
      <c r="E241" t="str">
        <f>IF(OR(Table1[[#This Row],[Type]]=0,Table1[[#This Row],[Type]]&gt;=40),"JA","SD")</f>
        <v>JA</v>
      </c>
      <c r="F241" t="s">
        <v>1885</v>
      </c>
      <c r="G241" s="661" t="s">
        <v>2268</v>
      </c>
      <c r="J241" s="653" t="str">
        <f>IFERROR(VLOOKUP(ROWS($J$2:J241),$A$2:$B$996,2,FALSE),"")</f>
        <v/>
      </c>
    </row>
    <row r="242" spans="1:10" x14ac:dyDescent="0.2">
      <c r="A242">
        <f>IF(ISNUMBER(SEARCH(Cover!$H$13,Table1[[#This Row],[School District]])),MAX($A$1:A241)+1,0)</f>
        <v>0</v>
      </c>
      <c r="B242" s="661" t="s">
        <v>1145</v>
      </c>
      <c r="C242" s="1599">
        <v>35050009026</v>
      </c>
      <c r="D242" s="664">
        <v>26</v>
      </c>
      <c r="E242" t="str">
        <f>IF(OR(Table1[[#This Row],[Type]]=0,Table1[[#This Row],[Type]]&gt;=40),"JA","SD")</f>
        <v>SD</v>
      </c>
      <c r="F242" t="s">
        <v>3169</v>
      </c>
      <c r="G242" s="661" t="s">
        <v>2269</v>
      </c>
      <c r="J242" s="653" t="str">
        <f>IFERROR(VLOOKUP(ROWS($J$2:J242),$A$2:$B$996,2,FALSE),"")</f>
        <v/>
      </c>
    </row>
    <row r="243" spans="1:10" x14ac:dyDescent="0.2">
      <c r="A243">
        <f>IF(ISNUMBER(SEARCH(Cover!$H$13,Table1[[#This Row],[School District]])),MAX($A$1:A242)+1,0)</f>
        <v>0</v>
      </c>
      <c r="B243" s="661" t="s">
        <v>1094</v>
      </c>
      <c r="C243" s="1599">
        <v>41057013002</v>
      </c>
      <c r="D243" s="664">
        <v>2</v>
      </c>
      <c r="E243" t="str">
        <f>IF(OR(Table1[[#This Row],[Type]]=0,Table1[[#This Row],[Type]]&gt;=40),"JA","SD")</f>
        <v>SD</v>
      </c>
      <c r="F243" t="s">
        <v>1774</v>
      </c>
      <c r="G243" s="661" t="s">
        <v>2270</v>
      </c>
      <c r="J243" s="653" t="str">
        <f>IFERROR(VLOOKUP(ROWS($J$2:J243),$A$2:$B$996,2,FALSE),"")</f>
        <v/>
      </c>
    </row>
    <row r="244" spans="1:10" x14ac:dyDescent="0.2">
      <c r="A244">
        <f>IF(ISNUMBER(SEARCH(Cover!$H$13,Table1[[#This Row],[School District]])),MAX($A$1:A243)+1,0)</f>
        <v>0</v>
      </c>
      <c r="B244" s="661" t="s">
        <v>1093</v>
      </c>
      <c r="C244" s="1599">
        <v>41057014016</v>
      </c>
      <c r="D244" s="664">
        <v>16</v>
      </c>
      <c r="E244" t="str">
        <f>IF(OR(Table1[[#This Row],[Type]]=0,Table1[[#This Row],[Type]]&gt;=40),"JA","SD")</f>
        <v>SD</v>
      </c>
      <c r="F244" t="s">
        <v>1774</v>
      </c>
      <c r="G244" s="661" t="s">
        <v>2271</v>
      </c>
      <c r="J244" s="653" t="str">
        <f>IFERROR(VLOOKUP(ROWS($J$2:J244),$A$2:$B$996,2,FALSE),"")</f>
        <v/>
      </c>
    </row>
    <row r="245" spans="1:10" x14ac:dyDescent="0.2">
      <c r="A245">
        <f>IF(ISNUMBER(SEARCH(Cover!$H$13,Table1[[#This Row],[School District]])),MAX($A$1:A244)+1,0)</f>
        <v>0</v>
      </c>
      <c r="B245" s="661" t="s">
        <v>1886</v>
      </c>
      <c r="C245" s="1599">
        <v>47098020002</v>
      </c>
      <c r="D245" s="664">
        <v>2</v>
      </c>
      <c r="E245" t="str">
        <f>IF(OR(Table1[[#This Row],[Type]]=0,Table1[[#This Row],[Type]]&gt;=40),"JA","SD")</f>
        <v>SD</v>
      </c>
      <c r="F245" t="s">
        <v>3261</v>
      </c>
      <c r="G245" s="661" t="s">
        <v>2272</v>
      </c>
      <c r="J245" s="653" t="str">
        <f>IFERROR(VLOOKUP(ROWS($J$2:J245),$A$2:$B$996,2,FALSE),"")</f>
        <v/>
      </c>
    </row>
    <row r="246" spans="1:10" x14ac:dyDescent="0.2">
      <c r="A246">
        <f>IF(ISNUMBER(SEARCH(Cover!$H$13,Table1[[#This Row],[School District]])),MAX($A$1:A245)+1,0)</f>
        <v>0</v>
      </c>
      <c r="B246" s="661" t="s">
        <v>1460</v>
      </c>
      <c r="C246" s="1599">
        <v>8043119022</v>
      </c>
      <c r="D246" s="664">
        <v>22</v>
      </c>
      <c r="E246" t="str">
        <f>IF(OR(Table1[[#This Row],[Type]]=0,Table1[[#This Row],[Type]]&gt;=40),"JA","SD")</f>
        <v>SD</v>
      </c>
      <c r="F246" t="s">
        <v>1885</v>
      </c>
      <c r="G246" s="661" t="s">
        <v>2273</v>
      </c>
      <c r="J246" s="653" t="str">
        <f>IFERROR(VLOOKUP(ROWS($J$2:J246),$A$2:$B$996,2,FALSE),"")</f>
        <v/>
      </c>
    </row>
    <row r="247" spans="1:10" x14ac:dyDescent="0.2">
      <c r="A247">
        <f>IF(ISNUMBER(SEARCH(Cover!$H$13,Table1[[#This Row],[School District]])),MAX($A$1:A246)+1,0)</f>
        <v>0</v>
      </c>
      <c r="B247" s="661" t="s">
        <v>1570</v>
      </c>
      <c r="C247" s="1599">
        <v>5016063002</v>
      </c>
      <c r="D247" s="664">
        <v>2</v>
      </c>
      <c r="E247" t="str">
        <f>IF(OR(Table1[[#This Row],[Type]]=0,Table1[[#This Row],[Type]]&gt;=40),"JA","SD")</f>
        <v>SD</v>
      </c>
      <c r="F247" t="s">
        <v>1766</v>
      </c>
      <c r="G247" s="661" t="s">
        <v>2274</v>
      </c>
      <c r="J247" s="653" t="str">
        <f>IFERROR(VLOOKUP(ROWS($J$2:J247),$A$2:$B$996,2,FALSE),"")</f>
        <v/>
      </c>
    </row>
    <row r="248" spans="1:10" x14ac:dyDescent="0.2">
      <c r="A248">
        <f>IF(ISNUMBER(SEARCH(Cover!$H$13,Table1[[#This Row],[School District]])),MAX($A$1:A247)+1,0)</f>
        <v>0</v>
      </c>
      <c r="B248" s="661" t="s">
        <v>1030</v>
      </c>
      <c r="C248" s="1599">
        <v>49081037002</v>
      </c>
      <c r="D248" s="664">
        <v>2</v>
      </c>
      <c r="E248" t="str">
        <f>IF(OR(Table1[[#This Row],[Type]]=0,Table1[[#This Row],[Type]]&gt;=40),"JA","SD")</f>
        <v>SD</v>
      </c>
      <c r="F248" t="s">
        <v>1800</v>
      </c>
      <c r="G248" s="661" t="s">
        <v>2275</v>
      </c>
      <c r="J248" s="653" t="str">
        <f>IFERROR(VLOOKUP(ROWS($J$2:J248),$A$2:$B$996,2,FALSE),"")</f>
        <v/>
      </c>
    </row>
    <row r="249" spans="1:10" x14ac:dyDescent="0.2">
      <c r="A249">
        <f>IF(ISNUMBER(SEARCH(Cover!$H$13,Table1[[#This Row],[School District]])),MAX($A$1:A248)+1,0)</f>
        <v>0</v>
      </c>
      <c r="B249" s="661" t="s">
        <v>977</v>
      </c>
      <c r="C249" s="1599">
        <v>53090309016</v>
      </c>
      <c r="D249" s="664">
        <v>16</v>
      </c>
      <c r="E249" t="str">
        <f>IF(OR(Table1[[#This Row],[Type]]=0,Table1[[#This Row],[Type]]&gt;=40),"JA","SD")</f>
        <v>SD</v>
      </c>
      <c r="F249" t="s">
        <v>1847</v>
      </c>
      <c r="G249" s="661" t="s">
        <v>2276</v>
      </c>
      <c r="J249" s="653" t="str">
        <f>IFERROR(VLOOKUP(ROWS($J$2:J249),$A$2:$B$996,2,FALSE),"")</f>
        <v/>
      </c>
    </row>
    <row r="250" spans="1:10" ht="15" customHeight="1" x14ac:dyDescent="0.2">
      <c r="A250">
        <f>IF(ISNUMBER(SEARCH(Cover!$H$13,Table1[[#This Row],[School District]])),MAX($A$1:A249)+1,0)</f>
        <v>0</v>
      </c>
      <c r="B250" s="661" t="s">
        <v>982</v>
      </c>
      <c r="C250" s="1599">
        <v>53090086002</v>
      </c>
      <c r="D250" s="664">
        <v>2</v>
      </c>
      <c r="E250" t="str">
        <f>IF(OR(Table1[[#This Row],[Type]]=0,Table1[[#This Row],[Type]]&gt;=40),"JA","SD")</f>
        <v>SD</v>
      </c>
      <c r="F250" t="s">
        <v>1847</v>
      </c>
      <c r="G250" s="661" t="s">
        <v>2277</v>
      </c>
      <c r="J250" s="653" t="str">
        <f>IFERROR(VLOOKUP(ROWS($J$2:J250),$A$2:$B$996,2,FALSE),"")</f>
        <v/>
      </c>
    </row>
    <row r="251" spans="1:10" ht="15" customHeight="1" x14ac:dyDescent="0.2">
      <c r="A251">
        <f>IF(ISNUMBER(SEARCH(Cover!$H$13,Table1[[#This Row],[School District]])),MAX($A$1:A250)+1,0)</f>
        <v>0</v>
      </c>
      <c r="B251" s="661" t="s">
        <v>1561</v>
      </c>
      <c r="C251" s="1599">
        <v>5016073002</v>
      </c>
      <c r="D251" s="664">
        <v>2</v>
      </c>
      <c r="E251" t="str">
        <f>IF(OR(Table1[[#This Row],[Type]]=0,Table1[[#This Row],[Type]]&gt;=40),"JA","SD")</f>
        <v>SD</v>
      </c>
      <c r="F251" t="s">
        <v>1766</v>
      </c>
      <c r="G251" s="661" t="s">
        <v>2278</v>
      </c>
      <c r="J251" s="653" t="str">
        <f>IFERROR(VLOOKUP(ROWS($J$2:J251),$A$2:$B$996,2,FALSE),"")</f>
        <v/>
      </c>
    </row>
    <row r="252" spans="1:10" x14ac:dyDescent="0.2">
      <c r="A252">
        <f>IF(ISNUMBER(SEARCH(Cover!$H$13,Table1[[#This Row],[School District]])),MAX($A$1:A251)+1,0)</f>
        <v>0</v>
      </c>
      <c r="B252" t="s">
        <v>1746</v>
      </c>
      <c r="C252" s="1599">
        <v>50082189061</v>
      </c>
      <c r="D252" s="664">
        <v>61</v>
      </c>
      <c r="E252" t="str">
        <f>IF(OR(Table1[[#This Row],[Type]]=0,Table1[[#This Row],[Type]]&gt;=40),"JA","SD")</f>
        <v>JA</v>
      </c>
      <c r="F252" t="s">
        <v>3134</v>
      </c>
      <c r="G252" s="661" t="s">
        <v>2279</v>
      </c>
      <c r="J252" s="653" t="str">
        <f>IFERROR(VLOOKUP(ROWS($J$2:J252),$A$2:$B$996,2,FALSE),"")</f>
        <v/>
      </c>
    </row>
    <row r="253" spans="1:10" ht="15" customHeight="1" x14ac:dyDescent="0.2">
      <c r="A253">
        <f>IF(ISNUMBER(SEARCH(Cover!$H$13,Table1[[#This Row],[School District]])),MAX($A$1:A252)+1,0)</f>
        <v>0</v>
      </c>
      <c r="B253" t="s">
        <v>1723</v>
      </c>
      <c r="C253" s="1599">
        <v>50082747045</v>
      </c>
      <c r="D253" s="664">
        <v>45</v>
      </c>
      <c r="E253" t="str">
        <f>IF(OR(Table1[[#This Row],[Type]]=0,Table1[[#This Row],[Type]]&gt;=40),"JA","SD")</f>
        <v>JA</v>
      </c>
      <c r="F253" t="s">
        <v>3134</v>
      </c>
      <c r="G253" s="661" t="s">
        <v>2280</v>
      </c>
      <c r="J253" s="653" t="str">
        <f>IFERROR(VLOOKUP(ROWS($J$2:J253),$A$2:$B$996,2,FALSE),"")</f>
        <v/>
      </c>
    </row>
    <row r="254" spans="1:10" ht="15" customHeight="1" x14ac:dyDescent="0.2">
      <c r="A254">
        <f>IF(ISNUMBER(SEARCH(Cover!$H$13,Table1[[#This Row],[School District]])),MAX($A$1:A253)+1,0)</f>
        <v>0</v>
      </c>
      <c r="B254" s="661" t="s">
        <v>1005</v>
      </c>
      <c r="C254" s="1599">
        <v>50082189022</v>
      </c>
      <c r="D254" s="664">
        <v>22</v>
      </c>
      <c r="E254" t="str">
        <f>IF(OR(Table1[[#This Row],[Type]]=0,Table1[[#This Row],[Type]]&gt;=40),"JA","SD")</f>
        <v>SD</v>
      </c>
      <c r="F254" t="s">
        <v>3134</v>
      </c>
      <c r="G254" s="661" t="s">
        <v>2281</v>
      </c>
      <c r="J254" s="653" t="str">
        <f>IFERROR(VLOOKUP(ROWS($J$2:J254),$A$2:$B$996,2,FALSE),"")</f>
        <v/>
      </c>
    </row>
    <row r="255" spans="1:10" x14ac:dyDescent="0.2">
      <c r="A255">
        <f>IF(ISNUMBER(SEARCH(Cover!$H$13,Table1[[#This Row],[School District]])),MAX($A$1:A254)+1,0)</f>
        <v>0</v>
      </c>
      <c r="B255" t="s">
        <v>1662</v>
      </c>
      <c r="C255" s="1599">
        <v>11015801060</v>
      </c>
      <c r="D255" s="664">
        <v>60</v>
      </c>
      <c r="E255" t="str">
        <f>IF(OR(Table1[[#This Row],[Type]]=0,Table1[[#This Row],[Type]]&gt;=40),"JA","SD")</f>
        <v>JA</v>
      </c>
      <c r="F255" t="s">
        <v>1852</v>
      </c>
      <c r="G255" s="661" t="s">
        <v>2282</v>
      </c>
      <c r="J255" s="653" t="str">
        <f>IFERROR(VLOOKUP(ROWS($J$2:J255),$A$2:$B$996,2,FALSE),"")</f>
        <v/>
      </c>
    </row>
    <row r="256" spans="1:10" x14ac:dyDescent="0.2">
      <c r="A256">
        <f>IF(ISNUMBER(SEARCH(Cover!$H$13,Table1[[#This Row],[School District]])),MAX($A$1:A255)+1,0)</f>
        <v>0</v>
      </c>
      <c r="B256" t="s">
        <v>1661</v>
      </c>
      <c r="C256" s="1599">
        <v>11015735045</v>
      </c>
      <c r="D256" s="664">
        <v>45</v>
      </c>
      <c r="E256" t="str">
        <f>IF(OR(Table1[[#This Row],[Type]]=0,Table1[[#This Row],[Type]]&gt;=40),"JA","SD")</f>
        <v>JA</v>
      </c>
      <c r="F256" t="s">
        <v>1852</v>
      </c>
      <c r="G256" s="661" t="s">
        <v>2283</v>
      </c>
      <c r="J256" s="653" t="str">
        <f>IFERROR(VLOOKUP(ROWS($J$2:J256),$A$2:$B$996,2,FALSE),"")</f>
        <v/>
      </c>
    </row>
    <row r="257" spans="1:10" x14ac:dyDescent="0.2">
      <c r="A257">
        <f>IF(ISNUMBER(SEARCH(Cover!$H$13,Table1[[#This Row],[School District]])),MAX($A$1:A256)+1,0)</f>
        <v>0</v>
      </c>
      <c r="B257" s="661" t="s">
        <v>1462</v>
      </c>
      <c r="C257" s="1599">
        <v>8008308026</v>
      </c>
      <c r="D257" s="664">
        <v>26</v>
      </c>
      <c r="E257" t="str">
        <f>IF(OR(Table1[[#This Row],[Type]]=0,Table1[[#This Row],[Type]]&gt;=40),"JA","SD")</f>
        <v>SD</v>
      </c>
      <c r="F257" t="s">
        <v>3170</v>
      </c>
      <c r="G257" s="661" t="s">
        <v>2284</v>
      </c>
      <c r="J257" s="653" t="str">
        <f>IFERROR(VLOOKUP(ROWS($J$2:J257),$A$2:$B$996,2,FALSE),"")</f>
        <v/>
      </c>
    </row>
    <row r="258" spans="1:10" x14ac:dyDescent="0.2">
      <c r="A258">
        <f>IF(ISNUMBER(SEARCH(Cover!$H$13,Table1[[#This Row],[School District]])),MAX($A$1:A257)+1,0)</f>
        <v>0</v>
      </c>
      <c r="B258" s="661" t="s">
        <v>1887</v>
      </c>
      <c r="C258" s="1599">
        <v>11023006026</v>
      </c>
      <c r="D258" s="664">
        <v>26</v>
      </c>
      <c r="E258" t="str">
        <f>IF(OR(Table1[[#This Row],[Type]]=0,Table1[[#This Row],[Type]]&gt;=40),"JA","SD")</f>
        <v>SD</v>
      </c>
      <c r="F258" t="s">
        <v>1888</v>
      </c>
      <c r="G258" s="661" t="s">
        <v>2285</v>
      </c>
      <c r="J258" s="653" t="str">
        <f>IFERROR(VLOOKUP(ROWS($J$2:J258),$A$2:$B$996,2,FALSE),"")</f>
        <v/>
      </c>
    </row>
    <row r="259" spans="1:10" x14ac:dyDescent="0.2">
      <c r="A259">
        <f>IF(ISNUMBER(SEARCH(Cover!$H$13,Table1[[#This Row],[School District]])),MAX($A$1:A258)+1,0)</f>
        <v>0</v>
      </c>
      <c r="B259" s="661" t="s">
        <v>1613</v>
      </c>
      <c r="C259" s="1599">
        <v>3011004026</v>
      </c>
      <c r="D259" s="664">
        <v>26</v>
      </c>
      <c r="E259" t="str">
        <f>IF(OR(Table1[[#This Row],[Type]]=0,Table1[[#This Row],[Type]]&gt;=40),"JA","SD")</f>
        <v>SD</v>
      </c>
      <c r="F259" t="s">
        <v>3171</v>
      </c>
      <c r="G259" s="661" t="s">
        <v>2286</v>
      </c>
      <c r="J259" s="653" t="str">
        <f>IFERROR(VLOOKUP(ROWS($J$2:J259),$A$2:$B$996,2,FALSE),"")</f>
        <v/>
      </c>
    </row>
    <row r="260" spans="1:10" ht="15" customHeight="1" x14ac:dyDescent="0.2">
      <c r="A260">
        <f>IF(ISNUMBER(SEARCH(Cover!$H$13,Table1[[#This Row],[School District]])),MAX($A$1:A259)+1,0)</f>
        <v>0</v>
      </c>
      <c r="B260" s="661" t="s">
        <v>1890</v>
      </c>
      <c r="C260" s="1599">
        <v>20024001026</v>
      </c>
      <c r="D260" s="664">
        <v>26</v>
      </c>
      <c r="E260" t="str">
        <f>IF(OR(Table1[[#This Row],[Type]]=0,Table1[[#This Row],[Type]]&gt;=40),"JA","SD")</f>
        <v>SD</v>
      </c>
      <c r="F260" t="s">
        <v>1891</v>
      </c>
      <c r="G260" s="661" t="s">
        <v>2287</v>
      </c>
      <c r="J260" s="653" t="str">
        <f>IFERROR(VLOOKUP(ROWS($J$2:J260),$A$2:$B$996,2,FALSE),"")</f>
        <v/>
      </c>
    </row>
    <row r="261" spans="1:10" x14ac:dyDescent="0.2">
      <c r="A261">
        <f>IF(ISNUMBER(SEARCH(Cover!$H$13,Table1[[#This Row],[School District]])),MAX($A$1:A260)+1,0)</f>
        <v>0</v>
      </c>
      <c r="B261" s="661" t="s">
        <v>1100</v>
      </c>
      <c r="C261" s="1599">
        <v>41057007026</v>
      </c>
      <c r="D261" s="664">
        <v>26</v>
      </c>
      <c r="E261" t="str">
        <f>IF(OR(Table1[[#This Row],[Type]]=0,Table1[[#This Row],[Type]]&gt;=40),"JA","SD")</f>
        <v>SD</v>
      </c>
      <c r="F261" t="s">
        <v>1774</v>
      </c>
      <c r="G261" s="661" t="s">
        <v>2288</v>
      </c>
      <c r="J261" s="653" t="str">
        <f>IFERROR(VLOOKUP(ROWS($J$2:J261),$A$2:$B$996,2,FALSE),"")</f>
        <v/>
      </c>
    </row>
    <row r="262" spans="1:10" x14ac:dyDescent="0.2">
      <c r="A262">
        <f>IF(ISNUMBER(SEARCH(Cover!$H$13,Table1[[#This Row],[School District]])),MAX($A$1:A261)+1,0)</f>
        <v>0</v>
      </c>
      <c r="B262" t="s">
        <v>1658</v>
      </c>
      <c r="C262" s="1599">
        <v>9010008046</v>
      </c>
      <c r="D262" s="664">
        <v>46</v>
      </c>
      <c r="E262" t="str">
        <f>IF(OR(Table1[[#This Row],[Type]]=0,Table1[[#This Row],[Type]]&gt;=40),"JA","SD")</f>
        <v>JA</v>
      </c>
      <c r="F262" t="s">
        <v>1851</v>
      </c>
      <c r="G262" s="661" t="s">
        <v>2289</v>
      </c>
      <c r="J262" s="653" t="str">
        <f>IFERROR(VLOOKUP(ROWS($J$2:J262),$A$2:$B$996,2,FALSE),"")</f>
        <v/>
      </c>
    </row>
    <row r="263" spans="1:10" ht="15" customHeight="1" x14ac:dyDescent="0.2">
      <c r="A263">
        <f>IF(ISNUMBER(SEARCH(Cover!$H$13,Table1[[#This Row],[School District]])),MAX($A$1:A262)+1,0)</f>
        <v>0</v>
      </c>
      <c r="B263" s="661" t="s">
        <v>1607</v>
      </c>
      <c r="C263" s="1599">
        <v>3025040026</v>
      </c>
      <c r="D263" s="664">
        <v>26</v>
      </c>
      <c r="E263" t="str">
        <f>IF(OR(Table1[[#This Row],[Type]]=0,Table1[[#This Row],[Type]]&gt;=40),"JA","SD")</f>
        <v>SD</v>
      </c>
      <c r="F263" t="s">
        <v>1773</v>
      </c>
      <c r="G263" s="661" t="s">
        <v>2290</v>
      </c>
      <c r="J263" s="653" t="str">
        <f>IFERROR(VLOOKUP(ROWS($J$2:J263),$A$2:$B$996,2,FALSE),"")</f>
        <v/>
      </c>
    </row>
    <row r="264" spans="1:10" x14ac:dyDescent="0.2">
      <c r="A264">
        <f>IF(ISNUMBER(SEARCH(Cover!$H$13,Table1[[#This Row],[School District]])),MAX($A$1:A263)+1,0)</f>
        <v>0</v>
      </c>
      <c r="B264" s="661" t="s">
        <v>1235</v>
      </c>
      <c r="C264" s="1599">
        <v>30002005026</v>
      </c>
      <c r="D264" s="664">
        <v>26</v>
      </c>
      <c r="E264" t="str">
        <f>IF(OR(Table1[[#This Row],[Type]]=0,Table1[[#This Row],[Type]]&gt;=40),"JA","SD")</f>
        <v>SD</v>
      </c>
      <c r="F264" t="s">
        <v>1822</v>
      </c>
      <c r="G264" s="661" t="s">
        <v>2291</v>
      </c>
      <c r="J264" s="653" t="str">
        <f>IFERROR(VLOOKUP(ROWS($J$2:J264),$A$2:$B$996,2,FALSE),"")</f>
        <v/>
      </c>
    </row>
    <row r="265" spans="1:10" x14ac:dyDescent="0.2">
      <c r="A265">
        <f>IF(ISNUMBER(SEARCH(Cover!$H$13,Table1[[#This Row],[School District]])),MAX($A$1:A264)+1,0)</f>
        <v>0</v>
      </c>
      <c r="B265" t="s">
        <v>1647</v>
      </c>
      <c r="C265" s="1599">
        <v>7016127561</v>
      </c>
      <c r="D265" s="664">
        <v>61</v>
      </c>
      <c r="E265" t="str">
        <f>IF(OR(Table1[[#This Row],[Type]]=0,Table1[[#This Row],[Type]]&gt;=40),"JA","SD")</f>
        <v>JA</v>
      </c>
      <c r="F265" t="s">
        <v>1766</v>
      </c>
      <c r="G265" s="661" t="s">
        <v>2292</v>
      </c>
      <c r="J265" s="653" t="str">
        <f>IFERROR(VLOOKUP(ROWS($J$2:J265),$A$2:$B$996,2,FALSE),"")</f>
        <v/>
      </c>
    </row>
    <row r="266" spans="1:10" x14ac:dyDescent="0.2">
      <c r="A266">
        <f>IF(ISNUMBER(SEARCH(Cover!$H$13,Table1[[#This Row],[School District]])),MAX($A$1:A265)+1,0)</f>
        <v>0</v>
      </c>
      <c r="B266" s="661" t="s">
        <v>968</v>
      </c>
      <c r="C266" s="1599">
        <v>53102011026</v>
      </c>
      <c r="D266" s="664">
        <v>26</v>
      </c>
      <c r="E266" t="str">
        <f>IF(OR(Table1[[#This Row],[Type]]=0,Table1[[#This Row],[Type]]&gt;=40),"JA","SD")</f>
        <v>SD</v>
      </c>
      <c r="F266" t="s">
        <v>3262</v>
      </c>
      <c r="G266" s="661" t="s">
        <v>2293</v>
      </c>
      <c r="J266" s="653" t="str">
        <f>IFERROR(VLOOKUP(ROWS($J$2:J266),$A$2:$B$996,2,FALSE),"")</f>
        <v/>
      </c>
    </row>
    <row r="267" spans="1:10" x14ac:dyDescent="0.2">
      <c r="A267">
        <f>IF(ISNUMBER(SEARCH(Cover!$H$13,Table1[[#This Row],[School District]])),MAX($A$1:A266)+1,0)</f>
        <v>0</v>
      </c>
      <c r="B267" s="661" t="s">
        <v>1310</v>
      </c>
      <c r="C267" s="1599">
        <v>20083004026</v>
      </c>
      <c r="D267" s="664">
        <v>26</v>
      </c>
      <c r="E267" t="str">
        <f>IF(OR(Table1[[#This Row],[Type]]=0,Table1[[#This Row],[Type]]&gt;=40),"JA","SD")</f>
        <v>SD</v>
      </c>
      <c r="F267" t="s">
        <v>1831</v>
      </c>
      <c r="G267" s="661" t="s">
        <v>2294</v>
      </c>
      <c r="J267" s="653" t="str">
        <f>IFERROR(VLOOKUP(ROWS($J$2:J267),$A$2:$B$996,2,FALSE),"")</f>
        <v/>
      </c>
    </row>
    <row r="268" spans="1:10" x14ac:dyDescent="0.2">
      <c r="A268">
        <f>IF(ISNUMBER(SEARCH(Cover!$H$13,Table1[[#This Row],[School District]])),MAX($A$1:A267)+1,0)</f>
        <v>0</v>
      </c>
      <c r="B268" s="661" t="s">
        <v>1892</v>
      </c>
      <c r="C268" s="1599">
        <v>19022205026</v>
      </c>
      <c r="D268" s="664">
        <v>26</v>
      </c>
      <c r="E268" t="str">
        <f>IF(OR(Table1[[#This Row],[Type]]=0,Table1[[#This Row],[Type]]&gt;=40),"JA","SD")</f>
        <v>SD</v>
      </c>
      <c r="F268" t="s">
        <v>3172</v>
      </c>
      <c r="G268" s="661" t="s">
        <v>2295</v>
      </c>
      <c r="J268" s="653" t="str">
        <f>IFERROR(VLOOKUP(ROWS($J$2:J268),$A$2:$B$996,2,FALSE),"")</f>
        <v/>
      </c>
    </row>
    <row r="269" spans="1:10" x14ac:dyDescent="0.2">
      <c r="A269">
        <f>IF(ISNUMBER(SEARCH(Cover!$H$13,Table1[[#This Row],[School District]])),MAX($A$1:A268)+1,0)</f>
        <v>0</v>
      </c>
      <c r="B269" s="661" t="s">
        <v>1039</v>
      </c>
      <c r="C269" s="1599">
        <v>48072322026</v>
      </c>
      <c r="D269" s="664">
        <v>26</v>
      </c>
      <c r="E269" t="str">
        <f>IF(OR(Table1[[#This Row],[Type]]=0,Table1[[#This Row],[Type]]&gt;=40),"JA","SD")</f>
        <v>SD</v>
      </c>
      <c r="F269" t="s">
        <v>3263</v>
      </c>
      <c r="G269" s="661" t="s">
        <v>2296</v>
      </c>
      <c r="J269" s="653" t="str">
        <f>IFERROR(VLOOKUP(ROWS($J$2:J269),$A$2:$B$996,2,FALSE),"")</f>
        <v/>
      </c>
    </row>
    <row r="270" spans="1:10" x14ac:dyDescent="0.2">
      <c r="A270">
        <f>IF(ISNUMBER(SEARCH(Cover!$H$13,Table1[[#This Row],[School District]])),MAX($A$1:A269)+1,0)</f>
        <v>0</v>
      </c>
      <c r="B270" s="661" t="s">
        <v>1521</v>
      </c>
      <c r="C270" s="1599">
        <v>6016401026</v>
      </c>
      <c r="D270" s="664">
        <v>26</v>
      </c>
      <c r="E270" t="str">
        <f>IF(OR(Table1[[#This Row],[Type]]=0,Table1[[#This Row],[Type]]&gt;=40),"JA","SD")</f>
        <v>SD</v>
      </c>
      <c r="F270" t="s">
        <v>1766</v>
      </c>
      <c r="G270" s="661" t="s">
        <v>2297</v>
      </c>
      <c r="J270" s="653" t="str">
        <f>IFERROR(VLOOKUP(ROWS($J$2:J270),$A$2:$B$996,2,FALSE),"")</f>
        <v/>
      </c>
    </row>
    <row r="271" spans="1:10" x14ac:dyDescent="0.2">
      <c r="A271">
        <f>IF(ISNUMBER(SEARCH(Cover!$H$13,Table1[[#This Row],[School District]])),MAX($A$1:A270)+1,0)</f>
        <v>0</v>
      </c>
      <c r="B271" s="661" t="s">
        <v>1229</v>
      </c>
      <c r="C271" s="1599">
        <v>30039196026</v>
      </c>
      <c r="D271" s="664">
        <v>26</v>
      </c>
      <c r="E271" t="str">
        <f>IF(OR(Table1[[#This Row],[Type]]=0,Table1[[#This Row],[Type]]&gt;=40),"JA","SD")</f>
        <v>SD</v>
      </c>
      <c r="F271" t="s">
        <v>1824</v>
      </c>
      <c r="G271" s="661" t="s">
        <v>2298</v>
      </c>
      <c r="J271" s="653" t="str">
        <f>IFERROR(VLOOKUP(ROWS($J$2:J271),$A$2:$B$996,2,FALSE),"")</f>
        <v/>
      </c>
    </row>
    <row r="272" spans="1:10" x14ac:dyDescent="0.2">
      <c r="A272">
        <f>IF(ISNUMBER(SEARCH(Cover!$H$13,Table1[[#This Row],[School District]])),MAX($A$1:A271)+1,0)</f>
        <v>0</v>
      </c>
      <c r="B272" s="661" t="s">
        <v>944</v>
      </c>
      <c r="C272" s="1599">
        <v>56099203004</v>
      </c>
      <c r="D272" s="664">
        <v>4</v>
      </c>
      <c r="E272" t="str">
        <f>IF(OR(Table1[[#This Row],[Type]]=0,Table1[[#This Row],[Type]]&gt;=40),"JA","SD")</f>
        <v>SD</v>
      </c>
      <c r="F272" t="s">
        <v>1793</v>
      </c>
      <c r="G272" s="661" t="s">
        <v>2299</v>
      </c>
      <c r="J272" s="653" t="str">
        <f>IFERROR(VLOOKUP(ROWS($J$2:J272),$A$2:$B$996,2,FALSE),"")</f>
        <v/>
      </c>
    </row>
    <row r="273" spans="1:10" x14ac:dyDescent="0.2">
      <c r="A273">
        <f>IF(ISNUMBER(SEARCH(Cover!$H$13,Table1[[#This Row],[School District]])),MAX($A$1:A272)+1,0)</f>
        <v>0</v>
      </c>
      <c r="B273" s="661" t="s">
        <v>1185</v>
      </c>
      <c r="C273" s="1599">
        <v>34049033002</v>
      </c>
      <c r="D273" s="664">
        <v>2</v>
      </c>
      <c r="E273" t="str">
        <f>IF(OR(Table1[[#This Row],[Type]]=0,Table1[[#This Row],[Type]]&gt;=40),"JA","SD")</f>
        <v>SD</v>
      </c>
      <c r="F273" t="s">
        <v>1765</v>
      </c>
      <c r="G273" s="661" t="s">
        <v>2300</v>
      </c>
      <c r="J273" s="653" t="str">
        <f>IFERROR(VLOOKUP(ROWS($J$2:J273),$A$2:$B$996,2,FALSE),"")</f>
        <v/>
      </c>
    </row>
    <row r="274" spans="1:10" x14ac:dyDescent="0.2">
      <c r="A274">
        <f>IF(ISNUMBER(SEARCH(Cover!$H$13,Table1[[#This Row],[School District]])),MAX($A$1:A273)+1,0)</f>
        <v>0</v>
      </c>
      <c r="B274" s="661" t="s">
        <v>1056</v>
      </c>
      <c r="C274" s="1599">
        <v>47098001026</v>
      </c>
      <c r="D274" s="664">
        <v>26</v>
      </c>
      <c r="E274" t="str">
        <f>IF(OR(Table1[[#This Row],[Type]]=0,Table1[[#This Row],[Type]]&gt;=40),"JA","SD")</f>
        <v>SD</v>
      </c>
      <c r="F274" t="s">
        <v>3264</v>
      </c>
      <c r="G274" s="661" t="s">
        <v>2301</v>
      </c>
      <c r="J274" s="653" t="str">
        <f>IFERROR(VLOOKUP(ROWS($J$2:J274),$A$2:$B$996,2,FALSE),"")</f>
        <v/>
      </c>
    </row>
    <row r="275" spans="1:10" x14ac:dyDescent="0.2">
      <c r="A275">
        <f>IF(ISNUMBER(SEARCH(Cover!$H$13,Table1[[#This Row],[School District]])),MAX($A$1:A274)+1,0)</f>
        <v>0</v>
      </c>
      <c r="B275" s="661" t="s">
        <v>1484</v>
      </c>
      <c r="C275" s="1599">
        <v>7016159002</v>
      </c>
      <c r="D275" s="664">
        <v>2</v>
      </c>
      <c r="E275" t="str">
        <f>IF(OR(Table1[[#This Row],[Type]]=0,Table1[[#This Row],[Type]]&gt;=40),"JA","SD")</f>
        <v>SD</v>
      </c>
      <c r="F275" t="s">
        <v>1766</v>
      </c>
      <c r="G275" s="661" t="s">
        <v>2302</v>
      </c>
      <c r="J275" s="653" t="str">
        <f>IFERROR(VLOOKUP(ROWS($J$2:J275),$A$2:$B$996,2,FALSE),"")</f>
        <v/>
      </c>
    </row>
    <row r="276" spans="1:10" x14ac:dyDescent="0.2">
      <c r="A276">
        <f>IF(ISNUMBER(SEARCH(Cover!$H$13,Table1[[#This Row],[School District]])),MAX($A$1:A275)+1,0)</f>
        <v>0</v>
      </c>
      <c r="B276" s="661" t="s">
        <v>1057</v>
      </c>
      <c r="C276" s="1599">
        <v>47071269004</v>
      </c>
      <c r="D276" s="664">
        <v>4</v>
      </c>
      <c r="E276" t="str">
        <f>IF(OR(Table1[[#This Row],[Type]]=0,Table1[[#This Row],[Type]]&gt;=40),"JA","SD")</f>
        <v>SD</v>
      </c>
      <c r="F276" t="s">
        <v>3265</v>
      </c>
      <c r="G276" s="661" t="s">
        <v>2303</v>
      </c>
      <c r="J276" s="653" t="str">
        <f>IFERROR(VLOOKUP(ROWS($J$2:J276),$A$2:$B$996,2,FALSE),"")</f>
        <v/>
      </c>
    </row>
    <row r="277" spans="1:10" ht="15" customHeight="1" x14ac:dyDescent="0.2">
      <c r="A277">
        <f>IF(ISNUMBER(SEARCH(Cover!$H$13,Table1[[#This Row],[School District]])),MAX($A$1:A276)+1,0)</f>
        <v>0</v>
      </c>
      <c r="B277" s="661" t="s">
        <v>964</v>
      </c>
      <c r="C277" s="1599">
        <v>53102140026</v>
      </c>
      <c r="D277" s="664">
        <v>26</v>
      </c>
      <c r="E277" t="str">
        <f>IF(OR(Table1[[#This Row],[Type]]=0,Table1[[#This Row],[Type]]&gt;=40),"JA","SD")</f>
        <v>SD</v>
      </c>
      <c r="F277" t="s">
        <v>3266</v>
      </c>
      <c r="G277" s="661" t="s">
        <v>2304</v>
      </c>
      <c r="J277" s="653" t="str">
        <f>IFERROR(VLOOKUP(ROWS($J$2:J277),$A$2:$B$996,2,FALSE),"")</f>
        <v/>
      </c>
    </row>
    <row r="278" spans="1:10" x14ac:dyDescent="0.2">
      <c r="A278">
        <f>IF(ISNUMBER(SEARCH(Cover!$H$13,Table1[[#This Row],[School District]])),MAX($A$1:A277)+1,0)</f>
        <v>0</v>
      </c>
      <c r="B278" s="661" t="s">
        <v>1568</v>
      </c>
      <c r="C278" s="1599">
        <v>5016065004</v>
      </c>
      <c r="D278" s="664">
        <v>4</v>
      </c>
      <c r="E278" t="str">
        <f>IF(OR(Table1[[#This Row],[Type]]=0,Table1[[#This Row],[Type]]&gt;=40),"JA","SD")</f>
        <v>SD</v>
      </c>
      <c r="F278" t="s">
        <v>1766</v>
      </c>
      <c r="G278" s="661" t="s">
        <v>2305</v>
      </c>
      <c r="J278" s="653" t="str">
        <f>IFERROR(VLOOKUP(ROWS($J$2:J278),$A$2:$B$996,2,FALSE),"")</f>
        <v/>
      </c>
    </row>
    <row r="279" spans="1:10" x14ac:dyDescent="0.2">
      <c r="A279">
        <f>IF(ISNUMBER(SEARCH(Cover!$H$13,Table1[[#This Row],[School District]])),MAX($A$1:A278)+1,0)</f>
        <v>0</v>
      </c>
      <c r="B279" t="s">
        <v>1747</v>
      </c>
      <c r="C279" s="1599">
        <v>5016065061</v>
      </c>
      <c r="D279" s="664">
        <v>61</v>
      </c>
      <c r="E279" t="str">
        <f>IF(OR(Table1[[#This Row],[Type]]=0,Table1[[#This Row],[Type]]&gt;=40),"JA","SD")</f>
        <v>JA</v>
      </c>
      <c r="F279" t="s">
        <v>1766</v>
      </c>
      <c r="G279" s="661" t="s">
        <v>2306</v>
      </c>
      <c r="J279" s="653" t="str">
        <f>IFERROR(VLOOKUP(ROWS($J$2:J279),$A$2:$B$996,2,FALSE),"")</f>
        <v/>
      </c>
    </row>
    <row r="280" spans="1:10" x14ac:dyDescent="0.2">
      <c r="A280">
        <f>IF(ISNUMBER(SEARCH(Cover!$H$13,Table1[[#This Row],[School District]])),MAX($A$1:A279)+1,0)</f>
        <v>1</v>
      </c>
      <c r="B280" s="661" t="s">
        <v>1558</v>
      </c>
      <c r="C280" s="1599">
        <v>5016202017</v>
      </c>
      <c r="D280" s="664">
        <v>17</v>
      </c>
      <c r="E280" t="str">
        <f>IF(OR(Table1[[#This Row],[Type]]=0,Table1[[#This Row],[Type]]&gt;=40),"JA","SD")</f>
        <v>SD</v>
      </c>
      <c r="F280" t="s">
        <v>1766</v>
      </c>
      <c r="G280" s="661" t="s">
        <v>2307</v>
      </c>
      <c r="J280" s="653" t="str">
        <f>IFERROR(VLOOKUP(ROWS($J$2:J280),$A$2:$B$996,2,FALSE),"")</f>
        <v/>
      </c>
    </row>
    <row r="281" spans="1:10" x14ac:dyDescent="0.2">
      <c r="A281">
        <f>IF(ISNUMBER(SEARCH(Cover!$H$13,Table1[[#This Row],[School District]])),MAX($A$1:A280)+1,0)</f>
        <v>0</v>
      </c>
      <c r="B281" s="661" t="s">
        <v>1464</v>
      </c>
      <c r="C281" s="1599">
        <v>7016231016</v>
      </c>
      <c r="D281" s="664">
        <v>16</v>
      </c>
      <c r="E281" t="str">
        <f>IF(OR(Table1[[#This Row],[Type]]=0,Table1[[#This Row],[Type]]&gt;=40),"JA","SD")</f>
        <v>SD</v>
      </c>
      <c r="F281" t="s">
        <v>1766</v>
      </c>
      <c r="G281" s="661" t="s">
        <v>2308</v>
      </c>
      <c r="J281" s="653" t="str">
        <f>IFERROR(VLOOKUP(ROWS($J$2:J281),$A$2:$B$996,2,FALSE),"")</f>
        <v/>
      </c>
    </row>
    <row r="282" spans="1:10" ht="15" customHeight="1" x14ac:dyDescent="0.2">
      <c r="A282">
        <f>IF(ISNUMBER(SEARCH(Cover!$H$13,Table1[[#This Row],[School District]])),MAX($A$1:A281)+1,0)</f>
        <v>0</v>
      </c>
      <c r="B282" s="661" t="s">
        <v>1511</v>
      </c>
      <c r="C282" s="1599">
        <v>7016124002</v>
      </c>
      <c r="D282" s="664">
        <v>2</v>
      </c>
      <c r="E282" t="str">
        <f>IF(OR(Table1[[#This Row],[Type]]=0,Table1[[#This Row],[Type]]&gt;=40),"JA","SD")</f>
        <v>SD</v>
      </c>
      <c r="F282" t="s">
        <v>1766</v>
      </c>
      <c r="G282" s="661" t="s">
        <v>2309</v>
      </c>
      <c r="J282" s="653" t="str">
        <f>IFERROR(VLOOKUP(ROWS($J$2:J282),$A$2:$B$996,2,FALSE),"")</f>
        <v/>
      </c>
    </row>
    <row r="283" spans="1:10" ht="15" customHeight="1" x14ac:dyDescent="0.2">
      <c r="A283">
        <f>IF(ISNUMBER(SEARCH(Cover!$H$13,Table1[[#This Row],[School District]])),MAX($A$1:A282)+1,0)</f>
        <v>0</v>
      </c>
      <c r="B283" s="661" t="s">
        <v>1296</v>
      </c>
      <c r="C283" s="1599">
        <v>21028115004</v>
      </c>
      <c r="D283" s="664">
        <v>4</v>
      </c>
      <c r="E283" t="str">
        <f>IF(OR(Table1[[#This Row],[Type]]=0,Table1[[#This Row],[Type]]&gt;=40),"JA","SD")</f>
        <v>SD</v>
      </c>
      <c r="F283" t="s">
        <v>1767</v>
      </c>
      <c r="G283" s="661" t="s">
        <v>2310</v>
      </c>
      <c r="J283" s="653" t="str">
        <f>IFERROR(VLOOKUP(ROWS($J$2:J283),$A$2:$B$996,2,FALSE),"")</f>
        <v/>
      </c>
    </row>
    <row r="284" spans="1:10" x14ac:dyDescent="0.2">
      <c r="A284">
        <f>IF(ISNUMBER(SEARCH(Cover!$H$13,Table1[[#This Row],[School District]])),MAX($A$1:A283)+1,0)</f>
        <v>0</v>
      </c>
      <c r="B284" t="s">
        <v>1649</v>
      </c>
      <c r="C284" s="1599">
        <v>7016150061</v>
      </c>
      <c r="D284" s="664">
        <v>61</v>
      </c>
      <c r="E284" t="str">
        <f>IF(OR(Table1[[#This Row],[Type]]=0,Table1[[#This Row],[Type]]&gt;=40),"JA","SD")</f>
        <v>JA</v>
      </c>
      <c r="F284" t="s">
        <v>1766</v>
      </c>
      <c r="G284" s="661" t="s">
        <v>2311</v>
      </c>
      <c r="J284" s="653" t="str">
        <f>IFERROR(VLOOKUP(ROWS($J$2:J284),$A$2:$B$996,2,FALSE),"")</f>
        <v/>
      </c>
    </row>
    <row r="285" spans="1:10" x14ac:dyDescent="0.2">
      <c r="A285">
        <f>IF(ISNUMBER(SEARCH(Cover!$H$13,Table1[[#This Row],[School District]])),MAX($A$1:A284)+1,0)</f>
        <v>0</v>
      </c>
      <c r="B285" t="s">
        <v>1702</v>
      </c>
      <c r="C285" s="1599">
        <v>34049801060</v>
      </c>
      <c r="D285" s="664">
        <v>60</v>
      </c>
      <c r="E285" t="str">
        <f>IF(OR(Table1[[#This Row],[Type]]=0,Table1[[#This Row],[Type]]&gt;=40),"JA","SD")</f>
        <v>JA</v>
      </c>
      <c r="F285" t="s">
        <v>1765</v>
      </c>
      <c r="G285" s="661" t="s">
        <v>2312</v>
      </c>
      <c r="J285" s="653" t="str">
        <f>IFERROR(VLOOKUP(ROWS($J$2:J285),$A$2:$B$996,2,FALSE),"")</f>
        <v/>
      </c>
    </row>
    <row r="286" spans="1:10" x14ac:dyDescent="0.2">
      <c r="A286">
        <f>IF(ISNUMBER(SEARCH(Cover!$H$13,Table1[[#This Row],[School District]])),MAX($A$1:A285)+1,0)</f>
        <v>0</v>
      </c>
      <c r="B286" s="661" t="s">
        <v>1893</v>
      </c>
      <c r="C286" s="1599">
        <v>20096225016</v>
      </c>
      <c r="D286" s="664">
        <v>16</v>
      </c>
      <c r="E286" t="str">
        <f>IF(OR(Table1[[#This Row],[Type]]=0,Table1[[#This Row],[Type]]&gt;=40),"JA","SD")</f>
        <v>SD</v>
      </c>
      <c r="F286" t="s">
        <v>1894</v>
      </c>
      <c r="G286" s="661" t="s">
        <v>2313</v>
      </c>
      <c r="J286" s="653" t="str">
        <f>IFERROR(VLOOKUP(ROWS($J$2:J286),$A$2:$B$996,2,FALSE),"")</f>
        <v/>
      </c>
    </row>
    <row r="287" spans="1:10" x14ac:dyDescent="0.2">
      <c r="A287">
        <f>IF(ISNUMBER(SEARCH(Cover!$H$13,Table1[[#This Row],[School District]])),MAX($A$1:A286)+1,0)</f>
        <v>0</v>
      </c>
      <c r="B287" s="661" t="s">
        <v>1303</v>
      </c>
      <c r="C287" s="1599">
        <v>20096112004</v>
      </c>
      <c r="D287" s="664">
        <v>4</v>
      </c>
      <c r="E287" t="str">
        <f>IF(OR(Table1[[#This Row],[Type]]=0,Table1[[#This Row],[Type]]&gt;=40),"JA","SD")</f>
        <v>SD</v>
      </c>
      <c r="F287" t="s">
        <v>1894</v>
      </c>
      <c r="G287" s="661" t="s">
        <v>2314</v>
      </c>
      <c r="J287" s="653" t="str">
        <f>IFERROR(VLOOKUP(ROWS($J$2:J287),$A$2:$B$996,2,FALSE),"")</f>
        <v/>
      </c>
    </row>
    <row r="288" spans="1:10" x14ac:dyDescent="0.2">
      <c r="A288">
        <f>IF(ISNUMBER(SEARCH(Cover!$H$13,Table1[[#This Row],[School District]])),MAX($A$1:A287)+1,0)</f>
        <v>0</v>
      </c>
      <c r="B288" s="661" t="s">
        <v>952</v>
      </c>
      <c r="C288" s="1599">
        <v>56099089002</v>
      </c>
      <c r="D288" s="664">
        <v>2</v>
      </c>
      <c r="E288" t="str">
        <f>IF(OR(Table1[[#This Row],[Type]]=0,Table1[[#This Row],[Type]]&gt;=40),"JA","SD")</f>
        <v>SD</v>
      </c>
      <c r="F288" t="s">
        <v>1793</v>
      </c>
      <c r="G288" s="661" t="s">
        <v>2315</v>
      </c>
      <c r="J288" s="653" t="str">
        <f>IFERROR(VLOOKUP(ROWS($J$2:J288),$A$2:$B$996,2,FALSE),"")</f>
        <v/>
      </c>
    </row>
    <row r="289" spans="1:10" x14ac:dyDescent="0.2">
      <c r="A289">
        <f>IF(ISNUMBER(SEARCH(Cover!$H$13,Table1[[#This Row],[School District]])),MAX($A$1:A288)+1,0)</f>
        <v>0</v>
      </c>
      <c r="B289" s="661" t="s">
        <v>1562</v>
      </c>
      <c r="C289" s="1599">
        <v>5016072002</v>
      </c>
      <c r="D289" s="664">
        <v>2</v>
      </c>
      <c r="E289" t="str">
        <f>IF(OR(Table1[[#This Row],[Type]]=0,Table1[[#This Row],[Type]]&gt;=40),"JA","SD")</f>
        <v>SD</v>
      </c>
      <c r="F289" t="s">
        <v>1766</v>
      </c>
      <c r="G289" s="661" t="s">
        <v>2316</v>
      </c>
      <c r="J289" s="653" t="str">
        <f>IFERROR(VLOOKUP(ROWS($J$2:J289),$A$2:$B$996,2,FALSE),"")</f>
        <v/>
      </c>
    </row>
    <row r="290" spans="1:10" x14ac:dyDescent="0.2">
      <c r="A290">
        <f>IF(ISNUMBER(SEARCH(Cover!$H$13,Table1[[#This Row],[School District]])),MAX($A$1:A289)+1,0)</f>
        <v>0</v>
      </c>
      <c r="B290" s="661" t="s">
        <v>1043</v>
      </c>
      <c r="C290" s="1599">
        <v>48072265026</v>
      </c>
      <c r="D290" s="664">
        <v>26</v>
      </c>
      <c r="E290" t="str">
        <f>IF(OR(Table1[[#This Row],[Type]]=0,Table1[[#This Row],[Type]]&gt;=40),"JA","SD")</f>
        <v>SD</v>
      </c>
      <c r="F290" t="s">
        <v>1790</v>
      </c>
      <c r="G290" s="661" t="s">
        <v>2317</v>
      </c>
      <c r="J290" s="653" t="str">
        <f>IFERROR(VLOOKUP(ROWS($J$2:J290),$A$2:$B$996,2,FALSE),"")</f>
        <v/>
      </c>
    </row>
    <row r="291" spans="1:10" x14ac:dyDescent="0.2">
      <c r="A291">
        <f>IF(ISNUMBER(SEARCH(Cover!$H$13,Table1[[#This Row],[School District]])),MAX($A$1:A290)+1,0)</f>
        <v>0</v>
      </c>
      <c r="B291" s="661" t="s">
        <v>1396</v>
      </c>
      <c r="C291" s="1599">
        <v>13041099004</v>
      </c>
      <c r="D291" s="664">
        <v>4</v>
      </c>
      <c r="E291" t="str">
        <f>IF(OR(Table1[[#This Row],[Type]]=0,Table1[[#This Row],[Type]]&gt;=40),"JA","SD")</f>
        <v>SD</v>
      </c>
      <c r="F291" t="s">
        <v>1797</v>
      </c>
      <c r="G291" s="661" t="s">
        <v>2318</v>
      </c>
      <c r="J291" s="653" t="str">
        <f>IFERROR(VLOOKUP(ROWS($J$2:J291),$A$2:$B$996,2,FALSE),"")</f>
        <v/>
      </c>
    </row>
    <row r="292" spans="1:10" x14ac:dyDescent="0.2">
      <c r="A292">
        <f>IF(ISNUMBER(SEARCH(Cover!$H$13,Table1[[#This Row],[School District]])),MAX($A$1:A291)+1,0)</f>
        <v>0</v>
      </c>
      <c r="B292" s="661" t="s">
        <v>1320</v>
      </c>
      <c r="C292" s="1599">
        <v>19022100016</v>
      </c>
      <c r="D292" s="664">
        <v>16</v>
      </c>
      <c r="E292" t="str">
        <f>IF(OR(Table1[[#This Row],[Type]]=0,Table1[[#This Row],[Type]]&gt;=40),"JA","SD")</f>
        <v>SD</v>
      </c>
      <c r="F292" t="s">
        <v>3143</v>
      </c>
      <c r="G292" s="661" t="s">
        <v>2319</v>
      </c>
      <c r="J292" s="653" t="str">
        <f>IFERROR(VLOOKUP(ROWS($J$2:J292),$A$2:$B$996,2,FALSE),"")</f>
        <v/>
      </c>
    </row>
    <row r="293" spans="1:10" x14ac:dyDescent="0.2">
      <c r="A293">
        <f>IF(ISNUMBER(SEARCH(Cover!$H$13,Table1[[#This Row],[School District]])),MAX($A$1:A292)+1,0)</f>
        <v>0</v>
      </c>
      <c r="B293" s="661" t="s">
        <v>1402</v>
      </c>
      <c r="C293" s="1599">
        <v>13041003004</v>
      </c>
      <c r="D293" s="664">
        <v>4</v>
      </c>
      <c r="E293" t="str">
        <f>IF(OR(Table1[[#This Row],[Type]]=0,Table1[[#This Row],[Type]]&gt;=40),"JA","SD")</f>
        <v>SD</v>
      </c>
      <c r="F293" t="s">
        <v>1797</v>
      </c>
      <c r="G293" s="661" t="s">
        <v>2320</v>
      </c>
      <c r="J293" s="653" t="str">
        <f>IFERROR(VLOOKUP(ROWS($J$2:J293),$A$2:$B$996,2,FALSE),"")</f>
        <v/>
      </c>
    </row>
    <row r="294" spans="1:10" ht="15" customHeight="1" x14ac:dyDescent="0.2">
      <c r="A294">
        <f>IF(ISNUMBER(SEARCH(Cover!$H$13,Table1[[#This Row],[School District]])),MAX($A$1:A293)+1,0)</f>
        <v>0</v>
      </c>
      <c r="B294" s="661" t="s">
        <v>969</v>
      </c>
      <c r="C294" s="1599">
        <v>53102006026</v>
      </c>
      <c r="D294" s="664">
        <v>26</v>
      </c>
      <c r="E294" t="str">
        <f>IF(OR(Table1[[#This Row],[Type]]=0,Table1[[#This Row],[Type]]&gt;=40),"JA","SD")</f>
        <v>SD</v>
      </c>
      <c r="F294" t="s">
        <v>1846</v>
      </c>
      <c r="G294" s="661" t="s">
        <v>2321</v>
      </c>
      <c r="J294" s="653" t="str">
        <f>IFERROR(VLOOKUP(ROWS($J$2:J294),$A$2:$B$996,2,FALSE),"")</f>
        <v/>
      </c>
    </row>
    <row r="295" spans="1:10" x14ac:dyDescent="0.2">
      <c r="A295">
        <f>IF(ISNUMBER(SEARCH(Cover!$H$13,Table1[[#This Row],[School District]])),MAX($A$1:A294)+1,0)</f>
        <v>0</v>
      </c>
      <c r="B295" s="661" t="s">
        <v>1895</v>
      </c>
      <c r="C295" s="1599">
        <v>9010001026</v>
      </c>
      <c r="D295" s="664">
        <v>26</v>
      </c>
      <c r="E295" t="str">
        <f>IF(OR(Table1[[#This Row],[Type]]=0,Table1[[#This Row],[Type]]&gt;=40),"JA","SD")</f>
        <v>SD</v>
      </c>
      <c r="F295" t="s">
        <v>1851</v>
      </c>
      <c r="G295" s="661" t="s">
        <v>2322</v>
      </c>
      <c r="J295" s="653" t="str">
        <f>IFERROR(VLOOKUP(ROWS($J$2:J295),$A$2:$B$996,2,FALSE),"")</f>
        <v/>
      </c>
    </row>
    <row r="296" spans="1:10" x14ac:dyDescent="0.2">
      <c r="A296">
        <f>IF(ISNUMBER(SEARCH(Cover!$H$13,Table1[[#This Row],[School District]])),MAX($A$1:A295)+1,0)</f>
        <v>0</v>
      </c>
      <c r="B296" t="s">
        <v>1896</v>
      </c>
      <c r="C296" s="1599">
        <v>30002748040</v>
      </c>
      <c r="D296" s="664">
        <v>40</v>
      </c>
      <c r="E296" t="str">
        <f>IF(OR(Table1[[#This Row],[Type]]=0,Table1[[#This Row],[Type]]&gt;=40),"JA","SD")</f>
        <v>JA</v>
      </c>
      <c r="F296" t="s">
        <v>1822</v>
      </c>
      <c r="G296" s="661" t="s">
        <v>2323</v>
      </c>
      <c r="J296" s="653" t="str">
        <f>IFERROR(VLOOKUP(ROWS($J$2:J296),$A$2:$B$996,2,FALSE),"")</f>
        <v/>
      </c>
    </row>
    <row r="297" spans="1:10" x14ac:dyDescent="0.2">
      <c r="A297">
        <f>IF(ISNUMBER(SEARCH(Cover!$H$13,Table1[[#This Row],[School District]])),MAX($A$1:A296)+1,0)</f>
        <v>0</v>
      </c>
      <c r="B297" t="s">
        <v>1690</v>
      </c>
      <c r="C297" s="1599">
        <v>30002748045</v>
      </c>
      <c r="D297" s="664">
        <v>45</v>
      </c>
      <c r="E297" t="str">
        <f>IF(OR(Table1[[#This Row],[Type]]=0,Table1[[#This Row],[Type]]&gt;=40),"JA","SD")</f>
        <v>JA</v>
      </c>
      <c r="F297" t="s">
        <v>1822</v>
      </c>
      <c r="G297" s="661" t="s">
        <v>2324</v>
      </c>
      <c r="J297" s="653" t="str">
        <f>IFERROR(VLOOKUP(ROWS($J$2:J297),$A$2:$B$996,2,FALSE),"")</f>
        <v/>
      </c>
    </row>
    <row r="298" spans="1:10" x14ac:dyDescent="0.2">
      <c r="A298">
        <f>IF(ISNUMBER(SEARCH(Cover!$H$13,Table1[[#This Row],[School District]])),MAX($A$1:A297)+1,0)</f>
        <v>0</v>
      </c>
      <c r="B298" s="661" t="s">
        <v>1368</v>
      </c>
      <c r="C298" s="1599">
        <v>17053074027</v>
      </c>
      <c r="D298" s="664">
        <v>27</v>
      </c>
      <c r="E298" t="str">
        <f>IF(OR(Table1[[#This Row],[Type]]=0,Table1[[#This Row],[Type]]&gt;=40),"JA","SD")</f>
        <v>SD</v>
      </c>
      <c r="F298" t="s">
        <v>1866</v>
      </c>
      <c r="G298" s="661" t="s">
        <v>2325</v>
      </c>
      <c r="J298" s="653" t="str">
        <f>IFERROR(VLOOKUP(ROWS($J$2:J298),$A$2:$B$996,2,FALSE),"")</f>
        <v/>
      </c>
    </row>
    <row r="299" spans="1:10" ht="15" customHeight="1" x14ac:dyDescent="0.2">
      <c r="A299">
        <f>IF(ISNUMBER(SEARCH(Cover!$H$13,Table1[[#This Row],[School District]])),MAX($A$1:A298)+1,0)</f>
        <v>0</v>
      </c>
      <c r="B299" s="661" t="s">
        <v>1420</v>
      </c>
      <c r="C299" s="1599">
        <v>12013035026</v>
      </c>
      <c r="D299" s="664">
        <v>26</v>
      </c>
      <c r="E299" t="str">
        <f>IF(OR(Table1[[#This Row],[Type]]=0,Table1[[#This Row],[Type]]&gt;=40),"JA","SD")</f>
        <v>SD</v>
      </c>
      <c r="F299" t="s">
        <v>1858</v>
      </c>
      <c r="G299" s="661" t="s">
        <v>2326</v>
      </c>
      <c r="J299" s="653" t="str">
        <f>IFERROR(VLOOKUP(ROWS($J$2:J299),$A$2:$B$996,2,FALSE),"")</f>
        <v/>
      </c>
    </row>
    <row r="300" spans="1:10" x14ac:dyDescent="0.2">
      <c r="A300">
        <f>IF(ISNUMBER(SEARCH(Cover!$H$13,Table1[[#This Row],[School District]])),MAX($A$1:A299)+1,0)</f>
        <v>0</v>
      </c>
      <c r="B300" s="661" t="s">
        <v>1482</v>
      </c>
      <c r="C300" s="1599">
        <v>7016161002</v>
      </c>
      <c r="D300" s="664">
        <v>2</v>
      </c>
      <c r="E300" t="str">
        <f>IF(OR(Table1[[#This Row],[Type]]=0,Table1[[#This Row],[Type]]&gt;=40),"JA","SD")</f>
        <v>SD</v>
      </c>
      <c r="F300" t="s">
        <v>1766</v>
      </c>
      <c r="G300" s="661" t="s">
        <v>2327</v>
      </c>
      <c r="J300" s="653" t="str">
        <f>IFERROR(VLOOKUP(ROWS($J$2:J300),$A$2:$B$996,2,FALSE),"")</f>
        <v/>
      </c>
    </row>
    <row r="301" spans="1:10" x14ac:dyDescent="0.2">
      <c r="A301">
        <f>IF(ISNUMBER(SEARCH(Cover!$H$13,Table1[[#This Row],[School District]])),MAX($A$1:A300)+1,0)</f>
        <v>0</v>
      </c>
      <c r="B301" s="661" t="s">
        <v>1477</v>
      </c>
      <c r="C301" s="1599">
        <v>7016169002</v>
      </c>
      <c r="D301" s="664">
        <v>2</v>
      </c>
      <c r="E301" t="str">
        <f>IF(OR(Table1[[#This Row],[Type]]=0,Table1[[#This Row],[Type]]&gt;=40),"JA","SD")</f>
        <v>SD</v>
      </c>
      <c r="F301" t="s">
        <v>1766</v>
      </c>
      <c r="G301" s="661" t="s">
        <v>2328</v>
      </c>
      <c r="J301" s="653" t="str">
        <f>IFERROR(VLOOKUP(ROWS($J$2:J301),$A$2:$B$996,2,FALSE),"")</f>
        <v/>
      </c>
    </row>
    <row r="302" spans="1:10" x14ac:dyDescent="0.2">
      <c r="A302">
        <f>IF(ISNUMBER(SEARCH(Cover!$H$13,Table1[[#This Row],[School District]])),MAX($A$1:A301)+1,0)</f>
        <v>0</v>
      </c>
      <c r="B302" t="s">
        <v>1660</v>
      </c>
      <c r="C302" s="1599">
        <v>9027005061</v>
      </c>
      <c r="D302" s="664">
        <v>61</v>
      </c>
      <c r="E302" t="str">
        <f>IF(OR(Table1[[#This Row],[Type]]=0,Table1[[#This Row],[Type]]&gt;=40),"JA","SD")</f>
        <v>JA</v>
      </c>
      <c r="F302" t="s">
        <v>1897</v>
      </c>
      <c r="G302" s="661" t="s">
        <v>2329</v>
      </c>
      <c r="J302" s="653" t="str">
        <f>IFERROR(VLOOKUP(ROWS($J$2:J302),$A$2:$B$996,2,FALSE),"")</f>
        <v/>
      </c>
    </row>
    <row r="303" spans="1:10" ht="15" customHeight="1" x14ac:dyDescent="0.2">
      <c r="A303">
        <f>IF(ISNUMBER(SEARCH(Cover!$H$13,Table1[[#This Row],[School District]])),MAX($A$1:A302)+1,0)</f>
        <v>0</v>
      </c>
      <c r="B303" s="661" t="s">
        <v>1542</v>
      </c>
      <c r="C303" s="1599">
        <v>6016091002</v>
      </c>
      <c r="D303" s="664">
        <v>2</v>
      </c>
      <c r="E303" t="str">
        <f>IF(OR(Table1[[#This Row],[Type]]=0,Table1[[#This Row],[Type]]&gt;=40),"JA","SD")</f>
        <v>SD</v>
      </c>
      <c r="F303" t="s">
        <v>1766</v>
      </c>
      <c r="G303" s="661" t="s">
        <v>2330</v>
      </c>
      <c r="J303" s="653" t="str">
        <f>IFERROR(VLOOKUP(ROWS($J$2:J303),$A$2:$B$996,2,FALSE),"")</f>
        <v/>
      </c>
    </row>
    <row r="304" spans="1:10" x14ac:dyDescent="0.2">
      <c r="A304">
        <f>IF(ISNUMBER(SEARCH(Cover!$H$13,Table1[[#This Row],[School District]])),MAX($A$1:A303)+1,0)</f>
        <v>0</v>
      </c>
      <c r="B304" s="661" t="s">
        <v>1898</v>
      </c>
      <c r="C304" s="1599">
        <v>7016142002</v>
      </c>
      <c r="D304" s="664">
        <v>2</v>
      </c>
      <c r="E304" t="str">
        <f>IF(OR(Table1[[#This Row],[Type]]=0,Table1[[#This Row],[Type]]&gt;=40),"JA","SD")</f>
        <v>SD</v>
      </c>
      <c r="F304" t="s">
        <v>1766</v>
      </c>
      <c r="G304" s="661" t="s">
        <v>2331</v>
      </c>
      <c r="J304" s="653" t="str">
        <f>IFERROR(VLOOKUP(ROWS($J$2:J304),$A$2:$B$996,2,FALSE),"")</f>
        <v/>
      </c>
    </row>
    <row r="305" spans="1:10" x14ac:dyDescent="0.2">
      <c r="A305">
        <f>IF(ISNUMBER(SEARCH(Cover!$H$13,Table1[[#This Row],[School District]])),MAX($A$1:A304)+1,0)</f>
        <v>0</v>
      </c>
      <c r="B305" s="661" t="s">
        <v>1062</v>
      </c>
      <c r="C305" s="1599">
        <v>47071221026</v>
      </c>
      <c r="D305" s="664">
        <v>26</v>
      </c>
      <c r="E305" t="str">
        <f>IF(OR(Table1[[#This Row],[Type]]=0,Table1[[#This Row],[Type]]&gt;=40),"JA","SD")</f>
        <v>SD</v>
      </c>
      <c r="F305" t="s">
        <v>1821</v>
      </c>
      <c r="G305" s="661" t="s">
        <v>2332</v>
      </c>
      <c r="J305" s="653" t="str">
        <f>IFERROR(VLOOKUP(ROWS($J$2:J305),$A$2:$B$996,2,FALSE),"")</f>
        <v/>
      </c>
    </row>
    <row r="306" spans="1:10" ht="15" customHeight="1" x14ac:dyDescent="0.2">
      <c r="A306">
        <f>IF(ISNUMBER(SEARCH(Cover!$H$13,Table1[[#This Row],[School District]])),MAX($A$1:A305)+1,0)</f>
        <v>0</v>
      </c>
      <c r="B306" t="s">
        <v>1638</v>
      </c>
      <c r="C306" s="1599">
        <v>1069801060</v>
      </c>
      <c r="D306" s="664">
        <v>60</v>
      </c>
      <c r="E306" t="str">
        <f>IF(OR(Table1[[#This Row],[Type]]=0,Table1[[#This Row],[Type]]&gt;=40),"JA","SD")</f>
        <v>JA</v>
      </c>
      <c r="F306" t="s">
        <v>3296</v>
      </c>
      <c r="G306" s="661" t="s">
        <v>2333</v>
      </c>
      <c r="J306" s="653" t="str">
        <f>IFERROR(VLOOKUP(ROWS($J$2:J306),$A$2:$B$996,2,FALSE),"")</f>
        <v/>
      </c>
    </row>
    <row r="307" spans="1:10" x14ac:dyDescent="0.2">
      <c r="A307">
        <f>IF(ISNUMBER(SEARCH(Cover!$H$13,Table1[[#This Row],[School District]])),MAX($A$1:A306)+1,0)</f>
        <v>0</v>
      </c>
      <c r="B307" s="661" t="s">
        <v>1160</v>
      </c>
      <c r="C307" s="1599">
        <v>34049114002</v>
      </c>
      <c r="D307" s="664">
        <v>2</v>
      </c>
      <c r="E307" t="str">
        <f>IF(OR(Table1[[#This Row],[Type]]=0,Table1[[#This Row],[Type]]&gt;=40),"JA","SD")</f>
        <v>SD</v>
      </c>
      <c r="F307" t="s">
        <v>1765</v>
      </c>
      <c r="G307" s="661" t="s">
        <v>2334</v>
      </c>
      <c r="J307" s="653" t="str">
        <f>IFERROR(VLOOKUP(ROWS($J$2:J307),$A$2:$B$996,2,FALSE),"")</f>
        <v/>
      </c>
    </row>
    <row r="308" spans="1:10" x14ac:dyDescent="0.2">
      <c r="A308">
        <f>IF(ISNUMBER(SEARCH(Cover!$H$13,Table1[[#This Row],[School District]])),MAX($A$1:A307)+1,0)</f>
        <v>0</v>
      </c>
      <c r="B308" s="661" t="s">
        <v>1900</v>
      </c>
      <c r="C308" s="1599">
        <v>44063003003</v>
      </c>
      <c r="D308" s="664">
        <v>3</v>
      </c>
      <c r="E308" t="str">
        <f>IF(OR(Table1[[#This Row],[Type]]=0,Table1[[#This Row],[Type]]&gt;=40),"JA","SD")</f>
        <v>SD</v>
      </c>
      <c r="F308" t="s">
        <v>1769</v>
      </c>
      <c r="G308" s="661" t="s">
        <v>2335</v>
      </c>
      <c r="J308" s="653" t="str">
        <f>IFERROR(VLOOKUP(ROWS($J$2:J308),$A$2:$B$996,2,FALSE),"")</f>
        <v/>
      </c>
    </row>
    <row r="309" spans="1:10" ht="15" customHeight="1" x14ac:dyDescent="0.2">
      <c r="A309">
        <f>IF(ISNUMBER(SEARCH(Cover!$H$13,Table1[[#This Row],[School District]])),MAX($A$1:A308)+1,0)</f>
        <v>0</v>
      </c>
      <c r="B309" t="s">
        <v>1693</v>
      </c>
      <c r="C309" s="1599">
        <v>31045302041</v>
      </c>
      <c r="D309" s="664">
        <v>41</v>
      </c>
      <c r="E309" t="str">
        <f>IF(OR(Table1[[#This Row],[Type]]=0,Table1[[#This Row],[Type]]&gt;=40),"JA","SD")</f>
        <v>JA</v>
      </c>
      <c r="F309" t="s">
        <v>1789</v>
      </c>
      <c r="G309" s="661" t="s">
        <v>2336</v>
      </c>
      <c r="J309" s="653" t="str">
        <f>IFERROR(VLOOKUP(ROWS($J$2:J309),$A$2:$B$996,2,FALSE),"")</f>
        <v/>
      </c>
    </row>
    <row r="310" spans="1:10" x14ac:dyDescent="0.2">
      <c r="A310">
        <f>IF(ISNUMBER(SEARCH(Cover!$H$13,Table1[[#This Row],[School District]])),MAX($A$1:A309)+1,0)</f>
        <v>0</v>
      </c>
      <c r="B310" s="661" t="s">
        <v>911</v>
      </c>
      <c r="C310" s="1599" t="s">
        <v>912</v>
      </c>
      <c r="D310" s="664">
        <v>4</v>
      </c>
      <c r="E310" t="str">
        <f>IF(OR(Table1[[#This Row],[Type]]=0,Table1[[#This Row],[Type]]&gt;=40),"JA","SD")</f>
        <v>SD</v>
      </c>
      <c r="F310" t="s">
        <v>3267</v>
      </c>
      <c r="G310" s="661" t="s">
        <v>2337</v>
      </c>
      <c r="J310" s="653" t="str">
        <f>IFERROR(VLOOKUP(ROWS($J$2:J310),$A$2:$B$996,2,FALSE),"")</f>
        <v/>
      </c>
    </row>
    <row r="311" spans="1:10" x14ac:dyDescent="0.2">
      <c r="A311">
        <f>IF(ISNUMBER(SEARCH(Cover!$H$13,Table1[[#This Row],[School District]])),MAX($A$1:A310)+1,0)</f>
        <v>0</v>
      </c>
      <c r="B311" s="661" t="s">
        <v>1295</v>
      </c>
      <c r="C311" s="1599">
        <v>21028168026</v>
      </c>
      <c r="D311" s="664">
        <v>26</v>
      </c>
      <c r="E311" t="str">
        <f>IF(OR(Table1[[#This Row],[Type]]=0,Table1[[#This Row],[Type]]&gt;=40),"JA","SD")</f>
        <v>SD</v>
      </c>
      <c r="F311" t="s">
        <v>3173</v>
      </c>
      <c r="G311" s="661" t="s">
        <v>2338</v>
      </c>
      <c r="J311" s="653" t="str">
        <f>IFERROR(VLOOKUP(ROWS($J$2:J311),$A$2:$B$996,2,FALSE),"")</f>
        <v/>
      </c>
    </row>
    <row r="312" spans="1:10" ht="15" customHeight="1" x14ac:dyDescent="0.2">
      <c r="A312">
        <f>IF(ISNUMBER(SEARCH(Cover!$H$13,Table1[[#This Row],[School District]])),MAX($A$1:A311)+1,0)</f>
        <v>0</v>
      </c>
      <c r="B312" t="s">
        <v>1683</v>
      </c>
      <c r="C312" s="1599">
        <v>21000000046</v>
      </c>
      <c r="D312" s="664">
        <v>46</v>
      </c>
      <c r="E312" t="str">
        <f>IF(OR(Table1[[#This Row],[Type]]=0,Table1[[#This Row],[Type]]&gt;=40),"JA","SD")</f>
        <v>JA</v>
      </c>
      <c r="F312" t="s">
        <v>1767</v>
      </c>
      <c r="G312" s="661" t="s">
        <v>2339</v>
      </c>
      <c r="J312" s="653" t="str">
        <f>IFERROR(VLOOKUP(ROWS($J$2:J312),$A$2:$B$996,2,FALSE),"")</f>
        <v/>
      </c>
    </row>
    <row r="313" spans="1:10" x14ac:dyDescent="0.2">
      <c r="A313">
        <f>IF(ISNUMBER(SEARCH(Cover!$H$13,Table1[[#This Row],[School District]])),MAX($A$1:A312)+1,0)</f>
        <v>0</v>
      </c>
      <c r="B313" s="661" t="s">
        <v>1626</v>
      </c>
      <c r="C313" s="1599">
        <v>1069001026</v>
      </c>
      <c r="D313" s="664">
        <v>26</v>
      </c>
      <c r="E313" t="str">
        <f>IF(OR(Table1[[#This Row],[Type]]=0,Table1[[#This Row],[Type]]&gt;=40),"JA","SD")</f>
        <v>SD</v>
      </c>
      <c r="F313" t="s">
        <v>1899</v>
      </c>
      <c r="G313" s="661" t="s">
        <v>2340</v>
      </c>
      <c r="J313" s="653" t="str">
        <f>IFERROR(VLOOKUP(ROWS($J$2:J313),$A$2:$B$996,2,FALSE),"")</f>
        <v/>
      </c>
    </row>
    <row r="314" spans="1:10" x14ac:dyDescent="0.2">
      <c r="A314">
        <f>IF(ISNUMBER(SEARCH(Cover!$H$13,Table1[[#This Row],[School District]])),MAX($A$1:A313)+1,0)</f>
        <v>0</v>
      </c>
      <c r="B314" s="661" t="s">
        <v>1549</v>
      </c>
      <c r="C314" s="1599">
        <v>6016084002</v>
      </c>
      <c r="D314" s="664">
        <v>2</v>
      </c>
      <c r="E314" t="str">
        <f>IF(OR(Table1[[#This Row],[Type]]=0,Table1[[#This Row],[Type]]&gt;=40),"JA","SD")</f>
        <v>SD</v>
      </c>
      <c r="F314" t="s">
        <v>1766</v>
      </c>
      <c r="G314" s="661" t="s">
        <v>2341</v>
      </c>
      <c r="J314" s="653" t="str">
        <f>IFERROR(VLOOKUP(ROWS($J$2:J314),$A$2:$B$996,2,FALSE),"")</f>
        <v/>
      </c>
    </row>
    <row r="315" spans="1:10" x14ac:dyDescent="0.2">
      <c r="A315">
        <f>IF(ISNUMBER(SEARCH(Cover!$H$13,Table1[[#This Row],[School District]])),MAX($A$1:A314)+1,0)</f>
        <v>0</v>
      </c>
      <c r="B315" t="s">
        <v>1665</v>
      </c>
      <c r="C315" s="1599">
        <v>13041801060</v>
      </c>
      <c r="D315" s="664">
        <v>60</v>
      </c>
      <c r="E315" t="str">
        <f>IF(OR(Table1[[#This Row],[Type]]=0,Table1[[#This Row],[Type]]&gt;=40),"JA","SD")</f>
        <v>JA</v>
      </c>
      <c r="F315" t="s">
        <v>1797</v>
      </c>
      <c r="G315" s="661" t="s">
        <v>2342</v>
      </c>
      <c r="J315" s="653" t="str">
        <f>IFERROR(VLOOKUP(ROWS($J$2:J315),$A$2:$B$996,2,FALSE),"")</f>
        <v/>
      </c>
    </row>
    <row r="316" spans="1:10" x14ac:dyDescent="0.2">
      <c r="A316">
        <f>IF(ISNUMBER(SEARCH(Cover!$H$13,Table1[[#This Row],[School District]])),MAX($A$1:A315)+1,0)</f>
        <v>0</v>
      </c>
      <c r="B316" s="661" t="s">
        <v>1020</v>
      </c>
      <c r="C316" s="1599">
        <v>50082070004</v>
      </c>
      <c r="D316" s="664">
        <v>4</v>
      </c>
      <c r="E316" t="str">
        <f>IF(OR(Table1[[#This Row],[Type]]=0,Table1[[#This Row],[Type]]&gt;=40),"JA","SD")</f>
        <v>SD</v>
      </c>
      <c r="F316" t="s">
        <v>3134</v>
      </c>
      <c r="G316" s="661" t="s">
        <v>2343</v>
      </c>
      <c r="J316" s="653" t="str">
        <f>IFERROR(VLOOKUP(ROWS($J$2:J316),$A$2:$B$996,2,FALSE),"")</f>
        <v/>
      </c>
    </row>
    <row r="317" spans="1:10" x14ac:dyDescent="0.2">
      <c r="A317">
        <f>IF(ISNUMBER(SEARCH(Cover!$H$13,Table1[[#This Row],[School District]])),MAX($A$1:A316)+1,0)</f>
        <v>0</v>
      </c>
      <c r="B317" s="661" t="s">
        <v>1019</v>
      </c>
      <c r="C317" s="1599">
        <v>50082077016</v>
      </c>
      <c r="D317" s="664">
        <v>16</v>
      </c>
      <c r="E317" t="str">
        <f>IF(OR(Table1[[#This Row],[Type]]=0,Table1[[#This Row],[Type]]&gt;=40),"JA","SD")</f>
        <v>SD</v>
      </c>
      <c r="F317" t="s">
        <v>3134</v>
      </c>
      <c r="G317" s="661" t="s">
        <v>2344</v>
      </c>
      <c r="J317" s="653" t="str">
        <f>IFERROR(VLOOKUP(ROWS($J$2:J317),$A$2:$B$996,2,FALSE),"")</f>
        <v/>
      </c>
    </row>
    <row r="318" spans="1:10" x14ac:dyDescent="0.2">
      <c r="A318">
        <f>IF(ISNUMBER(SEARCH(Cover!$H$13,Table1[[#This Row],[School District]])),MAX($A$1:A317)+1,0)</f>
        <v>0</v>
      </c>
      <c r="B318" s="661" t="s">
        <v>1455</v>
      </c>
      <c r="C318" s="1599">
        <v>8089145022</v>
      </c>
      <c r="D318" s="664">
        <v>22</v>
      </c>
      <c r="E318" t="str">
        <f>IF(OR(Table1[[#This Row],[Type]]=0,Table1[[#This Row],[Type]]&gt;=40),"JA","SD")</f>
        <v>SD</v>
      </c>
      <c r="F318" t="s">
        <v>1870</v>
      </c>
      <c r="G318" s="661" t="s">
        <v>2345</v>
      </c>
      <c r="J318" s="653" t="str">
        <f>IFERROR(VLOOKUP(ROWS($J$2:J318),$A$2:$B$996,2,FALSE),"")</f>
        <v/>
      </c>
    </row>
    <row r="319" spans="1:10" ht="15" customHeight="1" x14ac:dyDescent="0.2">
      <c r="A319">
        <f>IF(ISNUMBER(SEARCH(Cover!$H$13,Table1[[#This Row],[School District]])),MAX($A$1:A318)+1,0)</f>
        <v>0</v>
      </c>
      <c r="B319" s="661" t="s">
        <v>1168</v>
      </c>
      <c r="C319" s="1599">
        <v>34049079002</v>
      </c>
      <c r="D319" s="664">
        <v>2</v>
      </c>
      <c r="E319" t="str">
        <f>IF(OR(Table1[[#This Row],[Type]]=0,Table1[[#This Row],[Type]]&gt;=40),"JA","SD")</f>
        <v>SD</v>
      </c>
      <c r="F319" t="s">
        <v>1765</v>
      </c>
      <c r="G319" s="661" t="s">
        <v>2346</v>
      </c>
      <c r="J319" s="653" t="str">
        <f>IFERROR(VLOOKUP(ROWS($J$2:J319),$A$2:$B$996,2,FALSE),"")</f>
        <v/>
      </c>
    </row>
    <row r="320" spans="1:10" x14ac:dyDescent="0.2">
      <c r="A320">
        <f>IF(ISNUMBER(SEARCH(Cover!$H$13,Table1[[#This Row],[School District]])),MAX($A$1:A319)+1,0)</f>
        <v>0</v>
      </c>
      <c r="B320" s="661" t="s">
        <v>1313</v>
      </c>
      <c r="C320" s="1599">
        <v>20083001026</v>
      </c>
      <c r="D320" s="664">
        <v>26</v>
      </c>
      <c r="E320" t="str">
        <f>IF(OR(Table1[[#This Row],[Type]]=0,Table1[[#This Row],[Type]]&gt;=40),"JA","SD")</f>
        <v>SD</v>
      </c>
      <c r="F320" t="s">
        <v>1831</v>
      </c>
      <c r="G320" s="661" t="s">
        <v>2347</v>
      </c>
      <c r="J320" s="653" t="str">
        <f>IFERROR(VLOOKUP(ROWS($J$2:J320),$A$2:$B$996,2,FALSE),"")</f>
        <v/>
      </c>
    </row>
    <row r="321" spans="1:10" x14ac:dyDescent="0.2">
      <c r="A321">
        <f>IF(ISNUMBER(SEARCH(Cover!$H$13,Table1[[#This Row],[School District]])),MAX($A$1:A320)+1,0)</f>
        <v>0</v>
      </c>
      <c r="B321" s="661" t="s">
        <v>1459</v>
      </c>
      <c r="C321" s="1599">
        <v>8043120022</v>
      </c>
      <c r="D321" s="664">
        <v>22</v>
      </c>
      <c r="E321" t="str">
        <f>IF(OR(Table1[[#This Row],[Type]]=0,Table1[[#This Row],[Type]]&gt;=40),"JA","SD")</f>
        <v>SD</v>
      </c>
      <c r="F321" t="s">
        <v>1885</v>
      </c>
      <c r="G321" s="661" t="s">
        <v>2348</v>
      </c>
      <c r="J321" s="653" t="str">
        <f>IFERROR(VLOOKUP(ROWS($J$2:J321),$A$2:$B$996,2,FALSE),"")</f>
        <v/>
      </c>
    </row>
    <row r="322" spans="1:10" x14ac:dyDescent="0.2">
      <c r="A322">
        <f>IF(ISNUMBER(SEARCH(Cover!$H$13,Table1[[#This Row],[School District]])),MAX($A$1:A321)+1,0)</f>
        <v>0</v>
      </c>
      <c r="B322" t="s">
        <v>1698</v>
      </c>
      <c r="C322" s="1599">
        <v>33048205041</v>
      </c>
      <c r="D322" s="664">
        <v>41</v>
      </c>
      <c r="E322" t="str">
        <f>IF(OR(Table1[[#This Row],[Type]]=0,Table1[[#This Row],[Type]]&gt;=40),"JA","SD")</f>
        <v>JA</v>
      </c>
      <c r="F322" t="s">
        <v>3174</v>
      </c>
      <c r="G322" s="661" t="s">
        <v>2349</v>
      </c>
      <c r="J322" s="653" t="str">
        <f>IFERROR(VLOOKUP(ROWS($J$2:J322),$A$2:$B$996,2,FALSE),"")</f>
        <v/>
      </c>
    </row>
    <row r="323" spans="1:10" x14ac:dyDescent="0.2">
      <c r="A323">
        <f>IF(ISNUMBER(SEARCH(Cover!$H$13,Table1[[#This Row],[School District]])),MAX($A$1:A322)+1,0)</f>
        <v>0</v>
      </c>
      <c r="B323" s="661" t="s">
        <v>1193</v>
      </c>
      <c r="C323" s="1599">
        <v>33048205026</v>
      </c>
      <c r="D323" s="664">
        <v>26</v>
      </c>
      <c r="E323" t="str">
        <f>IF(OR(Table1[[#This Row],[Type]]=0,Table1[[#This Row],[Type]]&gt;=40),"JA","SD")</f>
        <v>SD</v>
      </c>
      <c r="F323" t="s">
        <v>3174</v>
      </c>
      <c r="G323" s="661" t="s">
        <v>2350</v>
      </c>
      <c r="J323" s="653" t="str">
        <f>IFERROR(VLOOKUP(ROWS($J$2:J323),$A$2:$B$996,2,FALSE),"")</f>
        <v/>
      </c>
    </row>
    <row r="324" spans="1:10" x14ac:dyDescent="0.2">
      <c r="A324">
        <f>IF(ISNUMBER(SEARCH(Cover!$H$13,Table1[[#This Row],[School District]])),MAX($A$1:A323)+1,0)</f>
        <v>0</v>
      </c>
      <c r="B324" s="661" t="s">
        <v>1314</v>
      </c>
      <c r="C324" s="1599">
        <v>20030007026</v>
      </c>
      <c r="D324" s="664">
        <v>26</v>
      </c>
      <c r="E324" t="str">
        <f>IF(OR(Table1[[#This Row],[Type]]=0,Table1[[#This Row],[Type]]&gt;=40),"JA","SD")</f>
        <v>SD</v>
      </c>
      <c r="F324" t="s">
        <v>1901</v>
      </c>
      <c r="G324" s="661" t="s">
        <v>2351</v>
      </c>
      <c r="J324" s="653" t="str">
        <f>IFERROR(VLOOKUP(ROWS($J$2:J324),$A$2:$B$996,2,FALSE),"")</f>
        <v/>
      </c>
    </row>
    <row r="325" spans="1:10" x14ac:dyDescent="0.2">
      <c r="A325">
        <f>IF(ISNUMBER(SEARCH(Cover!$H$13,Table1[[#This Row],[School District]])),MAX($A$1:A324)+1,0)</f>
        <v>0</v>
      </c>
      <c r="B325" s="661" t="s">
        <v>1243</v>
      </c>
      <c r="C325" s="1599">
        <v>28037224026</v>
      </c>
      <c r="D325" s="664">
        <v>26</v>
      </c>
      <c r="E325" t="str">
        <f>IF(OR(Table1[[#This Row],[Type]]=0,Table1[[#This Row],[Type]]&gt;=40),"JA","SD")</f>
        <v>SD</v>
      </c>
      <c r="F325" t="s">
        <v>3175</v>
      </c>
      <c r="G325" s="661" t="s">
        <v>2352</v>
      </c>
      <c r="J325" s="653" t="str">
        <f>IFERROR(VLOOKUP(ROWS($J$2:J325),$A$2:$B$996,2,FALSE),"")</f>
        <v/>
      </c>
    </row>
    <row r="326" spans="1:10" x14ac:dyDescent="0.2">
      <c r="A326">
        <f>IF(ISNUMBER(SEARCH(Cover!$H$13,Table1[[#This Row],[School District]])),MAX($A$1:A325)+1,0)</f>
        <v>0</v>
      </c>
      <c r="B326" s="661" t="s">
        <v>921</v>
      </c>
      <c r="C326" s="1599" t="s">
        <v>922</v>
      </c>
      <c r="D326" s="664">
        <v>4</v>
      </c>
      <c r="E326" t="str">
        <f>IF(OR(Table1[[#This Row],[Type]]=0,Table1[[#This Row],[Type]]&gt;=40),"JA","SD")</f>
        <v>SD</v>
      </c>
      <c r="F326" t="s">
        <v>1809</v>
      </c>
      <c r="G326" s="661" t="s">
        <v>2353</v>
      </c>
      <c r="J326" s="653" t="str">
        <f>IFERROR(VLOOKUP(ROWS($J$2:J326),$A$2:$B$996,2,FALSE),"")</f>
        <v/>
      </c>
    </row>
    <row r="327" spans="1:10" x14ac:dyDescent="0.2">
      <c r="A327">
        <f>IF(ISNUMBER(SEARCH(Cover!$H$13,Table1[[#This Row],[School District]])),MAX($A$1:A326)+1,0)</f>
        <v>0</v>
      </c>
      <c r="B327" s="661" t="s">
        <v>1278</v>
      </c>
      <c r="C327" s="1599">
        <v>24032073017</v>
      </c>
      <c r="D327" s="664">
        <v>17</v>
      </c>
      <c r="E327" t="str">
        <f>IF(OR(Table1[[#This Row],[Type]]=0,Table1[[#This Row],[Type]]&gt;=40),"JA","SD")</f>
        <v>SD</v>
      </c>
      <c r="F327" t="s">
        <v>3176</v>
      </c>
      <c r="G327" s="661" t="s">
        <v>2354</v>
      </c>
      <c r="J327" s="653" t="str">
        <f>IFERROR(VLOOKUP(ROWS($J$2:J327),$A$2:$B$996,2,FALSE),"")</f>
        <v/>
      </c>
    </row>
    <row r="328" spans="1:10" x14ac:dyDescent="0.2">
      <c r="A328">
        <f>IF(ISNUMBER(SEARCH(Cover!$H$13,Table1[[#This Row],[School District]])),MAX($A$1:A327)+1,0)</f>
        <v>0</v>
      </c>
      <c r="B328" s="661" t="s">
        <v>1182</v>
      </c>
      <c r="C328" s="1599">
        <v>34049037002</v>
      </c>
      <c r="D328" s="664">
        <v>2</v>
      </c>
      <c r="E328" t="str">
        <f>IF(OR(Table1[[#This Row],[Type]]=0,Table1[[#This Row],[Type]]&gt;=40),"JA","SD")</f>
        <v>SD</v>
      </c>
      <c r="F328" t="s">
        <v>1765</v>
      </c>
      <c r="G328" s="661" t="s">
        <v>2355</v>
      </c>
      <c r="J328" s="653" t="str">
        <f>IFERROR(VLOOKUP(ROWS($J$2:J328),$A$2:$B$996,2,FALSE),"")</f>
        <v/>
      </c>
    </row>
    <row r="329" spans="1:10" x14ac:dyDescent="0.2">
      <c r="A329">
        <f>IF(ISNUMBER(SEARCH(Cover!$H$13,Table1[[#This Row],[School District]])),MAX($A$1:A328)+1,0)</f>
        <v>0</v>
      </c>
      <c r="B329" s="661" t="s">
        <v>1306</v>
      </c>
      <c r="C329" s="1599">
        <v>20096014004</v>
      </c>
      <c r="D329" s="664">
        <v>4</v>
      </c>
      <c r="E329" t="str">
        <f>IF(OR(Table1[[#This Row],[Type]]=0,Table1[[#This Row],[Type]]&gt;=40),"JA","SD")</f>
        <v>SD</v>
      </c>
      <c r="F329" t="s">
        <v>1894</v>
      </c>
      <c r="G329" s="661" t="s">
        <v>2356</v>
      </c>
      <c r="J329" s="653" t="str">
        <f>IFERROR(VLOOKUP(ROWS($J$2:J329),$A$2:$B$996,2,FALSE),"")</f>
        <v/>
      </c>
    </row>
    <row r="330" spans="1:10" x14ac:dyDescent="0.2">
      <c r="A330">
        <f>IF(ISNUMBER(SEARCH(Cover!$H$13,Table1[[#This Row],[School District]])),MAX($A$1:A329)+1,0)</f>
        <v>0</v>
      </c>
      <c r="B330" s="661" t="s">
        <v>1506</v>
      </c>
      <c r="C330" s="1599">
        <v>7016133002</v>
      </c>
      <c r="D330" s="664">
        <v>2</v>
      </c>
      <c r="E330" t="str">
        <f>IF(OR(Table1[[#This Row],[Type]]=0,Table1[[#This Row],[Type]]&gt;=40),"JA","SD")</f>
        <v>SD</v>
      </c>
      <c r="F330" t="s">
        <v>1766</v>
      </c>
      <c r="G330" s="661" t="s">
        <v>2357</v>
      </c>
      <c r="J330" s="653" t="str">
        <f>IFERROR(VLOOKUP(ROWS($J$2:J330),$A$2:$B$996,2,FALSE),"")</f>
        <v/>
      </c>
    </row>
    <row r="331" spans="1:10" x14ac:dyDescent="0.2">
      <c r="A331">
        <f>IF(ISNUMBER(SEARCH(Cover!$H$13,Table1[[#This Row],[School District]])),MAX($A$1:A330)+1,0)</f>
        <v>0</v>
      </c>
      <c r="B331" s="661" t="s">
        <v>1240</v>
      </c>
      <c r="C331" s="1599">
        <v>28037228026</v>
      </c>
      <c r="D331" s="664">
        <v>26</v>
      </c>
      <c r="E331" t="str">
        <f>IF(OR(Table1[[#This Row],[Type]]=0,Table1[[#This Row],[Type]]&gt;=40),"JA","SD")</f>
        <v>SD</v>
      </c>
      <c r="F331" t="s">
        <v>3177</v>
      </c>
      <c r="G331" s="661" t="s">
        <v>2358</v>
      </c>
      <c r="J331" s="653" t="str">
        <f>IFERROR(VLOOKUP(ROWS($J$2:J331),$A$2:$B$996,2,FALSE),"")</f>
        <v/>
      </c>
    </row>
    <row r="332" spans="1:10" x14ac:dyDescent="0.2">
      <c r="A332">
        <f>IF(ISNUMBER(SEARCH(Cover!$H$13,Table1[[#This Row],[School District]])),MAX($A$1:A331)+1,0)</f>
        <v>0</v>
      </c>
      <c r="B332" s="661" t="s">
        <v>1212</v>
      </c>
      <c r="C332" s="1599">
        <v>31045304026</v>
      </c>
      <c r="D332" s="664">
        <v>26</v>
      </c>
      <c r="E332" t="str">
        <f>IF(OR(Table1[[#This Row],[Type]]=0,Table1[[#This Row],[Type]]&gt;=40),"JA","SD")</f>
        <v>SD</v>
      </c>
      <c r="F332" t="s">
        <v>1789</v>
      </c>
      <c r="G332" s="661" t="s">
        <v>2359</v>
      </c>
      <c r="J332" s="653" t="str">
        <f>IFERROR(VLOOKUP(ROWS($J$2:J332),$A$2:$B$996,2,FALSE),"")</f>
        <v/>
      </c>
    </row>
    <row r="333" spans="1:10" x14ac:dyDescent="0.2">
      <c r="A333">
        <f>IF(ISNUMBER(SEARCH(Cover!$H$13,Table1[[#This Row],[School District]])),MAX($A$1:A332)+1,0)</f>
        <v>0</v>
      </c>
      <c r="B333" s="661" t="s">
        <v>1902</v>
      </c>
      <c r="C333" s="1599">
        <v>16019424026</v>
      </c>
      <c r="D333" s="664">
        <v>26</v>
      </c>
      <c r="E333" t="str">
        <f>IF(OR(Table1[[#This Row],[Type]]=0,Table1[[#This Row],[Type]]&gt;=40),"JA","SD")</f>
        <v>SD</v>
      </c>
      <c r="F333" t="s">
        <v>1877</v>
      </c>
      <c r="G333" s="661" t="s">
        <v>2360</v>
      </c>
      <c r="J333" s="653" t="str">
        <f>IFERROR(VLOOKUP(ROWS($J$2:J333),$A$2:$B$996,2,FALSE),"")</f>
        <v/>
      </c>
    </row>
    <row r="334" spans="1:10" x14ac:dyDescent="0.2">
      <c r="A334">
        <f>IF(ISNUMBER(SEARCH(Cover!$H$13,Table1[[#This Row],[School District]])),MAX($A$1:A333)+1,0)</f>
        <v>0</v>
      </c>
      <c r="B334" s="661" t="s">
        <v>1903</v>
      </c>
      <c r="C334" s="1599">
        <v>54092004026</v>
      </c>
      <c r="D334" s="664">
        <v>26</v>
      </c>
      <c r="E334" t="str">
        <f>IF(OR(Table1[[#This Row],[Type]]=0,Table1[[#This Row],[Type]]&gt;=40),"JA","SD")</f>
        <v>SD</v>
      </c>
      <c r="F334" t="s">
        <v>1783</v>
      </c>
      <c r="G334" s="661" t="s">
        <v>2361</v>
      </c>
      <c r="J334" s="653" t="str">
        <f>IFERROR(VLOOKUP(ROWS($J$2:J334),$A$2:$B$996,2,FALSE),"")</f>
        <v/>
      </c>
    </row>
    <row r="335" spans="1:10" x14ac:dyDescent="0.2">
      <c r="A335">
        <f>IF(ISNUMBER(SEARCH(Cover!$H$13,Table1[[#This Row],[School District]])),MAX($A$1:A334)+1,0)</f>
        <v>0</v>
      </c>
      <c r="B335" s="661" t="s">
        <v>965</v>
      </c>
      <c r="C335" s="1599">
        <v>53102069002</v>
      </c>
      <c r="D335" s="664">
        <v>2</v>
      </c>
      <c r="E335" t="str">
        <f>IF(OR(Table1[[#This Row],[Type]]=0,Table1[[#This Row],[Type]]&gt;=40),"JA","SD")</f>
        <v>SD</v>
      </c>
      <c r="F335" t="s">
        <v>1846</v>
      </c>
      <c r="G335" s="661" t="s">
        <v>2362</v>
      </c>
      <c r="J335" s="653" t="str">
        <f>IFERROR(VLOOKUP(ROWS($J$2:J335),$A$2:$B$996,2,FALSE),"")</f>
        <v/>
      </c>
    </row>
    <row r="336" spans="1:10" x14ac:dyDescent="0.2">
      <c r="A336">
        <f>IF(ISNUMBER(SEARCH(Cover!$H$13,Table1[[#This Row],[School District]])),MAX($A$1:A335)+1,0)</f>
        <v>0</v>
      </c>
      <c r="B336" s="661" t="s">
        <v>1409</v>
      </c>
      <c r="C336" s="1599">
        <v>13014060002</v>
      </c>
      <c r="D336" s="664">
        <v>2</v>
      </c>
      <c r="E336" t="str">
        <f>IF(OR(Table1[[#This Row],[Type]]=0,Table1[[#This Row],[Type]]&gt;=40),"JA","SD")</f>
        <v>SD</v>
      </c>
      <c r="F336" t="s">
        <v>1768</v>
      </c>
      <c r="G336" s="661" t="s">
        <v>2363</v>
      </c>
      <c r="J336" s="653" t="str">
        <f>IFERROR(VLOOKUP(ROWS($J$2:J336),$A$2:$B$996,2,FALSE),"")</f>
        <v/>
      </c>
    </row>
    <row r="337" spans="1:10" x14ac:dyDescent="0.2">
      <c r="A337">
        <f>IF(ISNUMBER(SEARCH(Cover!$H$13,Table1[[#This Row],[School District]])),MAX($A$1:A336)+1,0)</f>
        <v>0</v>
      </c>
      <c r="B337" s="661" t="s">
        <v>1233</v>
      </c>
      <c r="C337" s="1599">
        <v>30039130004</v>
      </c>
      <c r="D337" s="664">
        <v>4</v>
      </c>
      <c r="E337" t="str">
        <f>IF(OR(Table1[[#This Row],[Type]]=0,Table1[[#This Row],[Type]]&gt;=40),"JA","SD")</f>
        <v>SD</v>
      </c>
      <c r="F337" t="s">
        <v>1824</v>
      </c>
      <c r="G337" s="661" t="s">
        <v>2364</v>
      </c>
      <c r="J337" s="653" t="str">
        <f>IFERROR(VLOOKUP(ROWS($J$2:J337),$A$2:$B$996,2,FALSE),"")</f>
        <v/>
      </c>
    </row>
    <row r="338" spans="1:10" x14ac:dyDescent="0.2">
      <c r="A338">
        <f>IF(ISNUMBER(SEARCH(Cover!$H$13,Table1[[#This Row],[School District]])),MAX($A$1:A337)+1,0)</f>
        <v>0</v>
      </c>
      <c r="B338" s="661" t="s">
        <v>1441</v>
      </c>
      <c r="C338" s="1599">
        <v>9027005026</v>
      </c>
      <c r="D338" s="664">
        <v>26</v>
      </c>
      <c r="E338" t="str">
        <f>IF(OR(Table1[[#This Row],[Type]]=0,Table1[[#This Row],[Type]]&gt;=40),"JA","SD")</f>
        <v>SD</v>
      </c>
      <c r="F338" t="s">
        <v>1897</v>
      </c>
      <c r="G338" s="661" t="s">
        <v>2365</v>
      </c>
      <c r="J338" s="653" t="str">
        <f>IFERROR(VLOOKUP(ROWS($J$2:J338),$A$2:$B$996,2,FALSE),"")</f>
        <v/>
      </c>
    </row>
    <row r="339" spans="1:10" x14ac:dyDescent="0.2">
      <c r="A339">
        <f>IF(ISNUMBER(SEARCH(Cover!$H$13,Table1[[#This Row],[School District]])),MAX($A$1:A338)+1,0)</f>
        <v>0</v>
      </c>
      <c r="B339" s="661" t="s">
        <v>1444</v>
      </c>
      <c r="C339" s="1599">
        <v>9010188004</v>
      </c>
      <c r="D339" s="664">
        <v>4</v>
      </c>
      <c r="E339" t="str">
        <f>IF(OR(Table1[[#This Row],[Type]]=0,Table1[[#This Row],[Type]]&gt;=40),"JA","SD")</f>
        <v>SD</v>
      </c>
      <c r="F339" t="s">
        <v>1851</v>
      </c>
      <c r="G339" s="661" t="s">
        <v>2366</v>
      </c>
      <c r="J339" s="653" t="str">
        <f>IFERROR(VLOOKUP(ROWS($J$2:J339),$A$2:$B$996,2,FALSE),"")</f>
        <v/>
      </c>
    </row>
    <row r="340" spans="1:10" x14ac:dyDescent="0.2">
      <c r="A340">
        <f>IF(ISNUMBER(SEARCH(Cover!$H$13,Table1[[#This Row],[School District]])),MAX($A$1:A339)+1,0)</f>
        <v>0</v>
      </c>
      <c r="B340" s="661" t="s">
        <v>1108</v>
      </c>
      <c r="C340" s="1599">
        <v>40056007026</v>
      </c>
      <c r="D340" s="664">
        <v>26</v>
      </c>
      <c r="E340" t="str">
        <f>IF(OR(Table1[[#This Row],[Type]]=0,Table1[[#This Row],[Type]]&gt;=40),"JA","SD")</f>
        <v>SD</v>
      </c>
      <c r="F340" t="s">
        <v>1817</v>
      </c>
      <c r="G340" s="661" t="s">
        <v>2367</v>
      </c>
      <c r="J340" s="653" t="str">
        <f>IFERROR(VLOOKUP(ROWS($J$2:J340),$A$2:$B$996,2,FALSE),"")</f>
        <v/>
      </c>
    </row>
    <row r="341" spans="1:10" x14ac:dyDescent="0.2">
      <c r="A341">
        <f>IF(ISNUMBER(SEARCH(Cover!$H$13,Table1[[#This Row],[School District]])),MAX($A$1:A340)+1,0)</f>
        <v>0</v>
      </c>
      <c r="B341" s="661" t="s">
        <v>1335</v>
      </c>
      <c r="C341" s="1599">
        <v>19022041002</v>
      </c>
      <c r="D341" s="664">
        <v>2</v>
      </c>
      <c r="E341" t="str">
        <f>IF(OR(Table1[[#This Row],[Type]]=0,Table1[[#This Row],[Type]]&gt;=40),"JA","SD")</f>
        <v>SD</v>
      </c>
      <c r="F341" t="s">
        <v>3143</v>
      </c>
      <c r="G341" s="661" t="s">
        <v>2368</v>
      </c>
      <c r="J341" s="653" t="str">
        <f>IFERROR(VLOOKUP(ROWS($J$2:J341),$A$2:$B$996,2,FALSE),"")</f>
        <v/>
      </c>
    </row>
    <row r="342" spans="1:10" x14ac:dyDescent="0.2">
      <c r="A342">
        <f>IF(ISNUMBER(SEARCH(Cover!$H$13,Table1[[#This Row],[School District]])),MAX($A$1:A341)+1,0)</f>
        <v>0</v>
      </c>
      <c r="B342" s="661" t="s">
        <v>1325</v>
      </c>
      <c r="C342" s="1599">
        <v>19022087017</v>
      </c>
      <c r="D342" s="664">
        <v>17</v>
      </c>
      <c r="E342" t="str">
        <f>IF(OR(Table1[[#This Row],[Type]]=0,Table1[[#This Row],[Type]]&gt;=40),"JA","SD")</f>
        <v>SD</v>
      </c>
      <c r="F342" t="s">
        <v>3143</v>
      </c>
      <c r="G342" s="661" t="s">
        <v>2369</v>
      </c>
      <c r="J342" s="653" t="str">
        <f>IFERROR(VLOOKUP(ROWS($J$2:J342),$A$2:$B$996,2,FALSE),"")</f>
        <v/>
      </c>
    </row>
    <row r="343" spans="1:10" x14ac:dyDescent="0.2">
      <c r="A343">
        <f>IF(ISNUMBER(SEARCH(Cover!$H$13,Table1[[#This Row],[School District]])),MAX($A$1:A342)+1,0)</f>
        <v>0</v>
      </c>
      <c r="B343" s="661" t="s">
        <v>1576</v>
      </c>
      <c r="C343" s="1599">
        <v>5016035002</v>
      </c>
      <c r="D343" s="664">
        <v>2</v>
      </c>
      <c r="E343" t="str">
        <f>IF(OR(Table1[[#This Row],[Type]]=0,Table1[[#This Row],[Type]]&gt;=40),"JA","SD")</f>
        <v>SD</v>
      </c>
      <c r="F343" t="s">
        <v>1766</v>
      </c>
      <c r="G343" s="661" t="s">
        <v>2370</v>
      </c>
      <c r="J343" s="653" t="str">
        <f>IFERROR(VLOOKUP(ROWS($J$2:J343),$A$2:$B$996,2,FALSE),"")</f>
        <v/>
      </c>
    </row>
    <row r="344" spans="1:10" x14ac:dyDescent="0.2">
      <c r="A344">
        <f>IF(ISNUMBER(SEARCH(Cover!$H$13,Table1[[#This Row],[School District]])),MAX($A$1:A343)+1,0)</f>
        <v>0</v>
      </c>
      <c r="B344" s="661" t="s">
        <v>1577</v>
      </c>
      <c r="C344" s="1599">
        <v>5016034004</v>
      </c>
      <c r="D344" s="664">
        <v>4</v>
      </c>
      <c r="E344" t="str">
        <f>IF(OR(Table1[[#This Row],[Type]]=0,Table1[[#This Row],[Type]]&gt;=40),"JA","SD")</f>
        <v>SD</v>
      </c>
      <c r="F344" t="s">
        <v>1766</v>
      </c>
      <c r="G344" s="661" t="s">
        <v>2371</v>
      </c>
      <c r="J344" s="653" t="str">
        <f>IFERROR(VLOOKUP(ROWS($J$2:J344),$A$2:$B$996,2,FALSE),"")</f>
        <v/>
      </c>
    </row>
    <row r="345" spans="1:10" x14ac:dyDescent="0.2">
      <c r="A345">
        <f>IF(ISNUMBER(SEARCH(Cover!$H$13,Table1[[#This Row],[School District]])),MAX($A$1:A344)+1,0)</f>
        <v>0</v>
      </c>
      <c r="B345" s="661" t="s">
        <v>1567</v>
      </c>
      <c r="C345" s="1599">
        <v>5016067002</v>
      </c>
      <c r="D345" s="664">
        <v>2</v>
      </c>
      <c r="E345" t="str">
        <f>IF(OR(Table1[[#This Row],[Type]]=0,Table1[[#This Row],[Type]]&gt;=40),"JA","SD")</f>
        <v>SD</v>
      </c>
      <c r="F345" t="s">
        <v>1766</v>
      </c>
      <c r="G345" s="661" t="s">
        <v>2372</v>
      </c>
      <c r="J345" s="653" t="str">
        <f>IFERROR(VLOOKUP(ROWS($J$2:J345),$A$2:$B$996,2,FALSE),"")</f>
        <v/>
      </c>
    </row>
    <row r="346" spans="1:10" x14ac:dyDescent="0.2">
      <c r="A346">
        <f>IF(ISNUMBER(SEARCH(Cover!$H$13,Table1[[#This Row],[School District]])),MAX($A$1:A345)+1,0)</f>
        <v>0</v>
      </c>
      <c r="B346" s="661" t="s">
        <v>1904</v>
      </c>
      <c r="C346" s="1599">
        <v>21044001026</v>
      </c>
      <c r="D346" s="664">
        <v>26</v>
      </c>
      <c r="E346" t="str">
        <f>IF(OR(Table1[[#This Row],[Type]]=0,Table1[[#This Row],[Type]]&gt;=40),"JA","SD")</f>
        <v>SD</v>
      </c>
      <c r="F346" t="s">
        <v>1816</v>
      </c>
      <c r="G346" s="661" t="s">
        <v>2373</v>
      </c>
      <c r="J346" s="653" t="str">
        <f>IFERROR(VLOOKUP(ROWS($J$2:J346),$A$2:$B$996,2,FALSE),"")</f>
        <v/>
      </c>
    </row>
    <row r="347" spans="1:10" x14ac:dyDescent="0.2">
      <c r="A347">
        <f>IF(ISNUMBER(SEARCH(Cover!$H$13,Table1[[#This Row],[School District]])),MAX($A$1:A346)+1,0)</f>
        <v>0</v>
      </c>
      <c r="B347" s="661" t="s">
        <v>1329</v>
      </c>
      <c r="C347" s="1599">
        <v>19022062002</v>
      </c>
      <c r="D347" s="664">
        <v>2</v>
      </c>
      <c r="E347" t="str">
        <f>IF(OR(Table1[[#This Row],[Type]]=0,Table1[[#This Row],[Type]]&gt;=40),"JA","SD")</f>
        <v>SD</v>
      </c>
      <c r="F347" t="s">
        <v>3143</v>
      </c>
      <c r="G347" s="661" t="s">
        <v>2374</v>
      </c>
      <c r="J347" s="653" t="str">
        <f>IFERROR(VLOOKUP(ROWS($J$2:J347),$A$2:$B$996,2,FALSE),"")</f>
        <v/>
      </c>
    </row>
    <row r="348" spans="1:10" x14ac:dyDescent="0.2">
      <c r="A348">
        <f>IF(ISNUMBER(SEARCH(Cover!$H$13,Table1[[#This Row],[School District]])),MAX($A$1:A347)+1,0)</f>
        <v>0</v>
      </c>
      <c r="B348" s="661" t="s">
        <v>1400</v>
      </c>
      <c r="C348" s="1599">
        <v>13041006004</v>
      </c>
      <c r="D348" s="664">
        <v>4</v>
      </c>
      <c r="E348" t="str">
        <f>IF(OR(Table1[[#This Row],[Type]]=0,Table1[[#This Row],[Type]]&gt;=40),"JA","SD")</f>
        <v>SD</v>
      </c>
      <c r="F348" t="s">
        <v>1797</v>
      </c>
      <c r="G348" s="661" t="s">
        <v>2375</v>
      </c>
      <c r="J348" s="653" t="str">
        <f>IFERROR(VLOOKUP(ROWS($J$2:J348),$A$2:$B$996,2,FALSE),"")</f>
        <v/>
      </c>
    </row>
    <row r="349" spans="1:10" x14ac:dyDescent="0.2">
      <c r="A349">
        <f>IF(ISNUMBER(SEARCH(Cover!$H$13,Table1[[#This Row],[School District]])),MAX($A$1:A348)+1,0)</f>
        <v>0</v>
      </c>
      <c r="B349" s="661" t="s">
        <v>1139</v>
      </c>
      <c r="C349" s="1599">
        <v>35050095004</v>
      </c>
      <c r="D349" s="664">
        <v>4</v>
      </c>
      <c r="E349" t="str">
        <f>IF(OR(Table1[[#This Row],[Type]]=0,Table1[[#This Row],[Type]]&gt;=40),"JA","SD")</f>
        <v>SD</v>
      </c>
      <c r="F349" t="s">
        <v>3165</v>
      </c>
      <c r="G349" s="661" t="s">
        <v>2376</v>
      </c>
      <c r="J349" s="653" t="str">
        <f>IFERROR(VLOOKUP(ROWS($J$2:J349),$A$2:$B$996,2,FALSE),"")</f>
        <v/>
      </c>
    </row>
    <row r="350" spans="1:10" x14ac:dyDescent="0.2">
      <c r="A350">
        <f>IF(ISNUMBER(SEARCH(Cover!$H$13,Table1[[#This Row],[School District]])),MAX($A$1:A349)+1,0)</f>
        <v>0</v>
      </c>
      <c r="B350" s="661" t="s">
        <v>1098</v>
      </c>
      <c r="C350" s="1599">
        <v>41057009026</v>
      </c>
      <c r="D350" s="664">
        <v>26</v>
      </c>
      <c r="E350" t="str">
        <f>IF(OR(Table1[[#This Row],[Type]]=0,Table1[[#This Row],[Type]]&gt;=40),"JA","SD")</f>
        <v>SD</v>
      </c>
      <c r="F350" t="s">
        <v>1774</v>
      </c>
      <c r="G350" s="661" t="s">
        <v>2377</v>
      </c>
      <c r="J350" s="653" t="str">
        <f>IFERROR(VLOOKUP(ROWS($J$2:J350),$A$2:$B$996,2,FALSE),"")</f>
        <v/>
      </c>
    </row>
    <row r="351" spans="1:10" x14ac:dyDescent="0.2">
      <c r="A351">
        <f>IF(ISNUMBER(SEARCH(Cover!$H$13,Table1[[#This Row],[School District]])),MAX($A$1:A350)+1,0)</f>
        <v>0</v>
      </c>
      <c r="B351" s="661" t="s">
        <v>1016</v>
      </c>
      <c r="C351" s="1599">
        <v>50082110004</v>
      </c>
      <c r="D351" s="664">
        <v>4</v>
      </c>
      <c r="E351" t="str">
        <f>IF(OR(Table1[[#This Row],[Type]]=0,Table1[[#This Row],[Type]]&gt;=40),"JA","SD")</f>
        <v>SD</v>
      </c>
      <c r="F351" t="s">
        <v>3134</v>
      </c>
      <c r="G351" s="661" t="s">
        <v>2378</v>
      </c>
      <c r="J351" s="653" t="str">
        <f>IFERROR(VLOOKUP(ROWS($J$2:J351),$A$2:$B$996,2,FALSE),"")</f>
        <v/>
      </c>
    </row>
    <row r="352" spans="1:10" x14ac:dyDescent="0.2">
      <c r="A352">
        <f>IF(ISNUMBER(SEARCH(Cover!$H$13,Table1[[#This Row],[School District]])),MAX($A$1:A351)+1,0)</f>
        <v>0</v>
      </c>
      <c r="B352" s="661" t="s">
        <v>1154</v>
      </c>
      <c r="C352" s="1599">
        <v>34049124016</v>
      </c>
      <c r="D352" s="664">
        <v>16</v>
      </c>
      <c r="E352" t="str">
        <f>IF(OR(Table1[[#This Row],[Type]]=0,Table1[[#This Row],[Type]]&gt;=40),"JA","SD")</f>
        <v>SD</v>
      </c>
      <c r="F352" t="s">
        <v>1765</v>
      </c>
      <c r="G352" s="661" t="s">
        <v>2379</v>
      </c>
      <c r="J352" s="653" t="str">
        <f>IFERROR(VLOOKUP(ROWS($J$2:J352),$A$2:$B$996,2,FALSE),"")</f>
        <v/>
      </c>
    </row>
    <row r="353" spans="1:10" x14ac:dyDescent="0.2">
      <c r="A353">
        <f>IF(ISNUMBER(SEARCH(Cover!$H$13,Table1[[#This Row],[School District]])),MAX($A$1:A352)+1,0)</f>
        <v>0</v>
      </c>
      <c r="B353" s="661" t="s">
        <v>1203</v>
      </c>
      <c r="C353" s="1599">
        <v>32046006026</v>
      </c>
      <c r="D353" s="664">
        <v>26</v>
      </c>
      <c r="E353" t="str">
        <f>IF(OR(Table1[[#This Row],[Type]]=0,Table1[[#This Row],[Type]]&gt;=40),"JA","SD")</f>
        <v>SD</v>
      </c>
      <c r="F353" t="s">
        <v>1808</v>
      </c>
      <c r="G353" s="661" t="s">
        <v>2380</v>
      </c>
      <c r="J353" s="653" t="str">
        <f>IFERROR(VLOOKUP(ROWS($J$2:J353),$A$2:$B$996,2,FALSE),"")</f>
        <v/>
      </c>
    </row>
    <row r="354" spans="1:10" x14ac:dyDescent="0.2">
      <c r="A354">
        <f>IF(ISNUMBER(SEARCH(Cover!$H$13,Table1[[#This Row],[School District]])),MAX($A$1:A353)+1,0)</f>
        <v>0</v>
      </c>
      <c r="B354" s="661" t="s">
        <v>1183</v>
      </c>
      <c r="C354" s="1599">
        <v>34049036002</v>
      </c>
      <c r="D354" s="664">
        <v>2</v>
      </c>
      <c r="E354" t="str">
        <f>IF(OR(Table1[[#This Row],[Type]]=0,Table1[[#This Row],[Type]]&gt;=40),"JA","SD")</f>
        <v>SD</v>
      </c>
      <c r="F354" t="s">
        <v>1765</v>
      </c>
      <c r="G354" s="661" t="s">
        <v>2381</v>
      </c>
      <c r="J354" s="653" t="str">
        <f>IFERROR(VLOOKUP(ROWS($J$2:J354),$A$2:$B$996,2,FALSE),"")</f>
        <v/>
      </c>
    </row>
    <row r="355" spans="1:10" x14ac:dyDescent="0.2">
      <c r="A355">
        <f>IF(ISNUMBER(SEARCH(Cover!$H$13,Table1[[#This Row],[School District]])),MAX($A$1:A354)+1,0)</f>
        <v>0</v>
      </c>
      <c r="B355" s="661" t="s">
        <v>1180</v>
      </c>
      <c r="C355" s="1599">
        <v>34049046004</v>
      </c>
      <c r="D355" s="664">
        <v>4</v>
      </c>
      <c r="E355" t="str">
        <f>IF(OR(Table1[[#This Row],[Type]]=0,Table1[[#This Row],[Type]]&gt;=40),"JA","SD")</f>
        <v>SD</v>
      </c>
      <c r="F355" t="s">
        <v>1765</v>
      </c>
      <c r="G355" s="661" t="s">
        <v>2382</v>
      </c>
      <c r="J355" s="653" t="str">
        <f>IFERROR(VLOOKUP(ROWS($J$2:J355),$A$2:$B$996,2,FALSE),"")</f>
        <v/>
      </c>
    </row>
    <row r="356" spans="1:10" x14ac:dyDescent="0.2">
      <c r="A356">
        <f>IF(ISNUMBER(SEARCH(Cover!$H$13,Table1[[#This Row],[School District]])),MAX($A$1:A355)+1,0)</f>
        <v>0</v>
      </c>
      <c r="B356" s="661" t="s">
        <v>1151</v>
      </c>
      <c r="C356" s="1599">
        <v>34049127016</v>
      </c>
      <c r="D356" s="664">
        <v>16</v>
      </c>
      <c r="E356" t="str">
        <f>IF(OR(Table1[[#This Row],[Type]]=0,Table1[[#This Row],[Type]]&gt;=40),"JA","SD")</f>
        <v>SD</v>
      </c>
      <c r="F356" t="s">
        <v>1765</v>
      </c>
      <c r="G356" s="661" t="s">
        <v>2383</v>
      </c>
      <c r="J356" s="653" t="str">
        <f>IFERROR(VLOOKUP(ROWS($J$2:J356),$A$2:$B$996,2,FALSE),"")</f>
        <v/>
      </c>
    </row>
    <row r="357" spans="1:10" x14ac:dyDescent="0.2">
      <c r="A357">
        <f>IF(ISNUMBER(SEARCH(Cover!$H$13,Table1[[#This Row],[School District]])),MAX($A$1:A356)+1,0)</f>
        <v>0</v>
      </c>
      <c r="B357" s="661" t="s">
        <v>1301</v>
      </c>
      <c r="C357" s="1599">
        <v>20097001026</v>
      </c>
      <c r="D357" s="664">
        <v>26</v>
      </c>
      <c r="E357" t="str">
        <f>IF(OR(Table1[[#This Row],[Type]]=0,Table1[[#This Row],[Type]]&gt;=40),"JA","SD")</f>
        <v>SD</v>
      </c>
      <c r="F357" t="s">
        <v>3178</v>
      </c>
      <c r="G357" s="661" t="s">
        <v>2384</v>
      </c>
      <c r="J357" s="653" t="str">
        <f>IFERROR(VLOOKUP(ROWS($J$2:J357),$A$2:$B$996,2,FALSE),"")</f>
        <v/>
      </c>
    </row>
    <row r="358" spans="1:10" ht="15" customHeight="1" x14ac:dyDescent="0.2">
      <c r="A358">
        <f>IF(ISNUMBER(SEARCH(Cover!$H$13,Table1[[#This Row],[School District]])),MAX($A$1:A357)+1,0)</f>
        <v>0</v>
      </c>
      <c r="B358" s="661" t="s">
        <v>1113</v>
      </c>
      <c r="C358" s="1599">
        <v>40031010026</v>
      </c>
      <c r="D358" s="664">
        <v>26</v>
      </c>
      <c r="E358" t="str">
        <f>IF(OR(Table1[[#This Row],[Type]]=0,Table1[[#This Row],[Type]]&gt;=40),"JA","SD")</f>
        <v>SD</v>
      </c>
      <c r="F358" t="s">
        <v>1832</v>
      </c>
      <c r="G358" s="661" t="s">
        <v>2385</v>
      </c>
      <c r="J358" s="653" t="str">
        <f>IFERROR(VLOOKUP(ROWS($J$2:J358),$A$2:$B$996,2,FALSE),"")</f>
        <v/>
      </c>
    </row>
    <row r="359" spans="1:10" ht="15" customHeight="1" x14ac:dyDescent="0.2">
      <c r="A359">
        <f>IF(ISNUMBER(SEARCH(Cover!$H$13,Table1[[#This Row],[School District]])),MAX($A$1:A358)+1,0)</f>
        <v>0</v>
      </c>
      <c r="B359" s="661" t="s">
        <v>1002</v>
      </c>
      <c r="C359" s="1599">
        <v>51065200026</v>
      </c>
      <c r="D359" s="664">
        <v>26</v>
      </c>
      <c r="E359" t="str">
        <f>IF(OR(Table1[[#This Row],[Type]]=0,Table1[[#This Row],[Type]]&gt;=40),"JA","SD")</f>
        <v>SD</v>
      </c>
      <c r="F359" t="s">
        <v>1787</v>
      </c>
      <c r="G359" s="661" t="s">
        <v>2386</v>
      </c>
      <c r="J359" s="653" t="str">
        <f>IFERROR(VLOOKUP(ROWS($J$2:J359),$A$2:$B$996,2,FALSE),"")</f>
        <v/>
      </c>
    </row>
    <row r="360" spans="1:10" x14ac:dyDescent="0.2">
      <c r="A360">
        <f>IF(ISNUMBER(SEARCH(Cover!$H$13,Table1[[#This Row],[School District]])),MAX($A$1:A359)+1,0)</f>
        <v>0</v>
      </c>
      <c r="B360" s="661" t="s">
        <v>1621</v>
      </c>
      <c r="C360" s="1599">
        <v>1075004026</v>
      </c>
      <c r="D360" s="664">
        <v>26</v>
      </c>
      <c r="E360" t="str">
        <f>IF(OR(Table1[[#This Row],[Type]]=0,Table1[[#This Row],[Type]]&gt;=40),"JA","SD")</f>
        <v>SD</v>
      </c>
      <c r="F360" t="s">
        <v>1905</v>
      </c>
      <c r="G360" s="661" t="s">
        <v>2387</v>
      </c>
      <c r="J360" s="653" t="str">
        <f>IFERROR(VLOOKUP(ROWS($J$2:J360),$A$2:$B$996,2,FALSE),"")</f>
        <v/>
      </c>
    </row>
    <row r="361" spans="1:10" x14ac:dyDescent="0.2">
      <c r="A361">
        <f>IF(ISNUMBER(SEARCH(Cover!$H$13,Table1[[#This Row],[School District]])),MAX($A$1:A360)+1,0)</f>
        <v>0</v>
      </c>
      <c r="B361" t="s">
        <v>1906</v>
      </c>
      <c r="C361" s="1599">
        <v>24032790040</v>
      </c>
      <c r="D361" s="664">
        <v>40</v>
      </c>
      <c r="E361" t="str">
        <f>IF(OR(Table1[[#This Row],[Type]]=0,Table1[[#This Row],[Type]]&gt;=40),"JA","SD")</f>
        <v>JA</v>
      </c>
      <c r="F361" t="s">
        <v>1809</v>
      </c>
      <c r="G361" s="661" t="s">
        <v>2388</v>
      </c>
      <c r="J361" s="653" t="str">
        <f>IFERROR(VLOOKUP(ROWS($J$2:J361),$A$2:$B$996,2,FALSE),"")</f>
        <v/>
      </c>
    </row>
    <row r="362" spans="1:10" x14ac:dyDescent="0.2">
      <c r="A362">
        <f>IF(ISNUMBER(SEARCH(Cover!$H$13,Table1[[#This Row],[School District]])),MAX($A$1:A361)+1,0)</f>
        <v>0</v>
      </c>
      <c r="B362" t="s">
        <v>1686</v>
      </c>
      <c r="C362" s="1599">
        <v>24032101061</v>
      </c>
      <c r="D362" s="664">
        <v>61</v>
      </c>
      <c r="E362" t="str">
        <f>IF(OR(Table1[[#This Row],[Type]]=0,Table1[[#This Row],[Type]]&gt;=40),"JA","SD")</f>
        <v>JA</v>
      </c>
      <c r="F362" t="s">
        <v>1809</v>
      </c>
      <c r="G362" s="661" t="s">
        <v>2389</v>
      </c>
      <c r="J362" s="653" t="str">
        <f>IFERROR(VLOOKUP(ROWS($J$2:J362),$A$2:$B$996,2,FALSE),"")</f>
        <v/>
      </c>
    </row>
    <row r="363" spans="1:10" x14ac:dyDescent="0.2">
      <c r="A363">
        <f>IF(ISNUMBER(SEARCH(Cover!$H$13,Table1[[#This Row],[School District]])),MAX($A$1:A362)+1,0)</f>
        <v>0</v>
      </c>
      <c r="B363" s="661" t="s">
        <v>1178</v>
      </c>
      <c r="C363" s="1599">
        <v>34049056002</v>
      </c>
      <c r="D363" s="664">
        <v>2</v>
      </c>
      <c r="E363" t="str">
        <f>IF(OR(Table1[[#This Row],[Type]]=0,Table1[[#This Row],[Type]]&gt;=40),"JA","SD")</f>
        <v>SD</v>
      </c>
      <c r="F363" t="s">
        <v>1765</v>
      </c>
      <c r="G363" s="661" t="s">
        <v>2390</v>
      </c>
      <c r="J363" s="653" t="str">
        <f>IFERROR(VLOOKUP(ROWS($J$2:J363),$A$2:$B$996,2,FALSE),"")</f>
        <v/>
      </c>
    </row>
    <row r="364" spans="1:10" x14ac:dyDescent="0.2">
      <c r="A364">
        <f>IF(ISNUMBER(SEARCH(Cover!$H$13,Table1[[#This Row],[School District]])),MAX($A$1:A363)+1,0)</f>
        <v>0</v>
      </c>
      <c r="B364" s="661" t="s">
        <v>1247</v>
      </c>
      <c r="C364" s="1599">
        <v>28006502017</v>
      </c>
      <c r="D364" s="664">
        <v>17</v>
      </c>
      <c r="E364" t="str">
        <f>IF(OR(Table1[[#This Row],[Type]]=0,Table1[[#This Row],[Type]]&gt;=40),"JA","SD")</f>
        <v>SD</v>
      </c>
      <c r="F364" t="s">
        <v>1818</v>
      </c>
      <c r="G364" s="661" t="s">
        <v>2391</v>
      </c>
      <c r="J364" s="653" t="str">
        <f>IFERROR(VLOOKUP(ROWS($J$2:J364),$A$2:$B$996,2,FALSE),"")</f>
        <v/>
      </c>
    </row>
    <row r="365" spans="1:10" x14ac:dyDescent="0.2">
      <c r="A365">
        <f>IF(ISNUMBER(SEARCH(Cover!$H$13,Table1[[#This Row],[School District]])),MAX($A$1:A364)+1,0)</f>
        <v>0</v>
      </c>
      <c r="B365" s="661" t="s">
        <v>1261</v>
      </c>
      <c r="C365" s="1599">
        <v>26034328024</v>
      </c>
      <c r="D365" s="664">
        <v>24</v>
      </c>
      <c r="E365" t="str">
        <f>IF(OR(Table1[[#This Row],[Type]]=0,Table1[[#This Row],[Type]]&gt;=40),"JA","SD")</f>
        <v>SD</v>
      </c>
      <c r="F365" t="s">
        <v>1834</v>
      </c>
      <c r="G365" s="661" t="s">
        <v>2392</v>
      </c>
      <c r="J365" s="653" t="str">
        <f>IFERROR(VLOOKUP(ROWS($J$2:J365),$A$2:$B$996,2,FALSE),"")</f>
        <v/>
      </c>
    </row>
    <row r="366" spans="1:10" x14ac:dyDescent="0.2">
      <c r="A366">
        <f>IF(ISNUMBER(SEARCH(Cover!$H$13,Table1[[#This Row],[School District]])),MAX($A$1:A365)+1,0)</f>
        <v>0</v>
      </c>
      <c r="B366" s="661" t="s">
        <v>1907</v>
      </c>
      <c r="C366" s="1599">
        <v>20033010026</v>
      </c>
      <c r="D366" s="664">
        <v>26</v>
      </c>
      <c r="E366" t="str">
        <f>IF(OR(Table1[[#This Row],[Type]]=0,Table1[[#This Row],[Type]]&gt;=40),"JA","SD")</f>
        <v>SD</v>
      </c>
      <c r="F366" t="s">
        <v>1908</v>
      </c>
      <c r="G366" s="661" t="s">
        <v>2393</v>
      </c>
      <c r="J366" s="653" t="str">
        <f>IFERROR(VLOOKUP(ROWS($J$2:J366),$A$2:$B$996,2,FALSE),"")</f>
        <v/>
      </c>
    </row>
    <row r="367" spans="1:10" x14ac:dyDescent="0.2">
      <c r="A367">
        <f>IF(ISNUMBER(SEARCH(Cover!$H$13,Table1[[#This Row],[School District]])),MAX($A$1:A366)+1,0)</f>
        <v>0</v>
      </c>
      <c r="B367" s="661" t="s">
        <v>1034</v>
      </c>
      <c r="C367" s="1599">
        <v>49081029002</v>
      </c>
      <c r="D367" s="664">
        <v>2</v>
      </c>
      <c r="E367" t="str">
        <f>IF(OR(Table1[[#This Row],[Type]]=0,Table1[[#This Row],[Type]]&gt;=40),"JA","SD")</f>
        <v>SD</v>
      </c>
      <c r="F367" t="s">
        <v>1800</v>
      </c>
      <c r="G367" s="661" t="s">
        <v>2394</v>
      </c>
      <c r="J367" s="653" t="str">
        <f>IFERROR(VLOOKUP(ROWS($J$2:J367),$A$2:$B$996,2,FALSE),"")</f>
        <v/>
      </c>
    </row>
    <row r="368" spans="1:10" x14ac:dyDescent="0.2">
      <c r="A368">
        <f>IF(ISNUMBER(SEARCH(Cover!$H$13,Table1[[#This Row],[School District]])),MAX($A$1:A367)+1,0)</f>
        <v>0</v>
      </c>
      <c r="B368" s="661" t="s">
        <v>1909</v>
      </c>
      <c r="C368" s="1599">
        <v>20035001026</v>
      </c>
      <c r="D368" s="664">
        <v>26</v>
      </c>
      <c r="E368" t="str">
        <f>IF(OR(Table1[[#This Row],[Type]]=0,Table1[[#This Row],[Type]]&gt;=40),"JA","SD")</f>
        <v>SD</v>
      </c>
      <c r="F368" t="s">
        <v>3179</v>
      </c>
      <c r="G368" s="661" t="s">
        <v>2395</v>
      </c>
      <c r="J368" s="653" t="str">
        <f>IFERROR(VLOOKUP(ROWS($J$2:J368),$A$2:$B$996,2,FALSE),"")</f>
        <v/>
      </c>
    </row>
    <row r="369" spans="1:10" x14ac:dyDescent="0.2">
      <c r="A369">
        <f>IF(ISNUMBER(SEARCH(Cover!$H$13,Table1[[#This Row],[School District]])),MAX($A$1:A368)+1,0)</f>
        <v>0</v>
      </c>
      <c r="B369" s="661" t="s">
        <v>1910</v>
      </c>
      <c r="C369" s="1599">
        <v>4101122022</v>
      </c>
      <c r="D369" s="664">
        <v>22</v>
      </c>
      <c r="E369" t="str">
        <f>IF(OR(Table1[[#This Row],[Type]]=0,Table1[[#This Row],[Type]]&gt;=40),"JA","SD")</f>
        <v>SD</v>
      </c>
      <c r="F369" t="s">
        <v>1828</v>
      </c>
      <c r="G369" s="661" t="s">
        <v>2396</v>
      </c>
      <c r="J369" s="653" t="str">
        <f>IFERROR(VLOOKUP(ROWS($J$2:J369),$A$2:$B$996,2,FALSE),"")</f>
        <v/>
      </c>
    </row>
    <row r="370" spans="1:10" x14ac:dyDescent="0.2">
      <c r="A370">
        <f>IF(ISNUMBER(SEARCH(Cover!$H$13,Table1[[#This Row],[School District]])),MAX($A$1:A369)+1,0)</f>
        <v>0</v>
      </c>
      <c r="B370" s="661" t="s">
        <v>1008</v>
      </c>
      <c r="C370" s="1599">
        <v>50082175002</v>
      </c>
      <c r="D370" s="664">
        <v>2</v>
      </c>
      <c r="E370" t="str">
        <f>IF(OR(Table1[[#This Row],[Type]]=0,Table1[[#This Row],[Type]]&gt;=40),"JA","SD")</f>
        <v>SD</v>
      </c>
      <c r="F370" t="s">
        <v>3134</v>
      </c>
      <c r="G370" s="661" t="s">
        <v>2397</v>
      </c>
      <c r="J370" s="653" t="str">
        <f>IFERROR(VLOOKUP(ROWS($J$2:J370),$A$2:$B$996,2,FALSE),"")</f>
        <v/>
      </c>
    </row>
    <row r="371" spans="1:10" x14ac:dyDescent="0.2">
      <c r="A371">
        <f>IF(ISNUMBER(SEARCH(Cover!$H$13,Table1[[#This Row],[School District]])),MAX($A$1:A370)+1,0)</f>
        <v>0</v>
      </c>
      <c r="B371" s="661" t="s">
        <v>1311</v>
      </c>
      <c r="C371" s="1599">
        <v>20083003026</v>
      </c>
      <c r="D371" s="664">
        <v>26</v>
      </c>
      <c r="E371" t="str">
        <f>IF(OR(Table1[[#This Row],[Type]]=0,Table1[[#This Row],[Type]]&gt;=40),"JA","SD")</f>
        <v>SD</v>
      </c>
      <c r="F371" t="s">
        <v>1831</v>
      </c>
      <c r="G371" s="661" t="s">
        <v>2398</v>
      </c>
      <c r="J371" s="653" t="str">
        <f>IFERROR(VLOOKUP(ROWS($J$2:J371),$A$2:$B$996,2,FALSE),"")</f>
        <v/>
      </c>
    </row>
    <row r="372" spans="1:10" x14ac:dyDescent="0.2">
      <c r="A372">
        <f>IF(ISNUMBER(SEARCH(Cover!$H$13,Table1[[#This Row],[School District]])),MAX($A$1:A371)+1,0)</f>
        <v>0</v>
      </c>
      <c r="B372" s="661" t="s">
        <v>1911</v>
      </c>
      <c r="C372" s="1599">
        <v>44063036002</v>
      </c>
      <c r="D372" s="664">
        <v>2</v>
      </c>
      <c r="E372" t="str">
        <f>IF(OR(Table1[[#This Row],[Type]]=0,Table1[[#This Row],[Type]]&gt;=40),"JA","SD")</f>
        <v>SD</v>
      </c>
      <c r="F372" t="s">
        <v>1769</v>
      </c>
      <c r="G372" s="661" t="s">
        <v>2399</v>
      </c>
      <c r="J372" s="653" t="str">
        <f>IFERROR(VLOOKUP(ROWS($J$2:J372),$A$2:$B$996,2,FALSE),"")</f>
        <v/>
      </c>
    </row>
    <row r="373" spans="1:10" x14ac:dyDescent="0.2">
      <c r="A373">
        <f>IF(ISNUMBER(SEARCH(Cover!$H$13,Table1[[#This Row],[School District]])),MAX($A$1:A372)+1,0)</f>
        <v>0</v>
      </c>
      <c r="B373" s="661" t="s">
        <v>1360</v>
      </c>
      <c r="C373" s="1599">
        <v>17054021026</v>
      </c>
      <c r="D373" s="664">
        <v>26</v>
      </c>
      <c r="E373" t="str">
        <f>IF(OR(Table1[[#This Row],[Type]]=0,Table1[[#This Row],[Type]]&gt;=40),"JA","SD")</f>
        <v>SD</v>
      </c>
      <c r="F373" t="s">
        <v>1856</v>
      </c>
      <c r="G373" s="661" t="s">
        <v>2400</v>
      </c>
      <c r="J373" s="653" t="str">
        <f>IFERROR(VLOOKUP(ROWS($J$2:J373),$A$2:$B$996,2,FALSE),"")</f>
        <v/>
      </c>
    </row>
    <row r="374" spans="1:10" x14ac:dyDescent="0.2">
      <c r="A374">
        <f>IF(ISNUMBER(SEARCH(Cover!$H$13,Table1[[#This Row],[School District]])),MAX($A$1:A373)+1,0)</f>
        <v>0</v>
      </c>
      <c r="B374" s="661" t="s">
        <v>1084</v>
      </c>
      <c r="C374" s="1599">
        <v>44063050026</v>
      </c>
      <c r="D374" s="664">
        <v>26</v>
      </c>
      <c r="E374" t="str">
        <f>IF(OR(Table1[[#This Row],[Type]]=0,Table1[[#This Row],[Type]]&gt;=40),"JA","SD")</f>
        <v>SD</v>
      </c>
      <c r="F374" t="s">
        <v>1769</v>
      </c>
      <c r="G374" s="661" t="s">
        <v>2401</v>
      </c>
      <c r="J374" s="653" t="str">
        <f>IFERROR(VLOOKUP(ROWS($J$2:J374),$A$2:$B$996,2,FALSE),"")</f>
        <v/>
      </c>
    </row>
    <row r="375" spans="1:10" x14ac:dyDescent="0.2">
      <c r="A375">
        <f>IF(ISNUMBER(SEARCH(Cover!$H$13,Table1[[#This Row],[School District]])),MAX($A$1:A374)+1,0)</f>
        <v>0</v>
      </c>
      <c r="B375" s="661" t="s">
        <v>1493</v>
      </c>
      <c r="C375" s="1599">
        <v>7016152002</v>
      </c>
      <c r="D375" s="664">
        <v>2</v>
      </c>
      <c r="E375" t="str">
        <f>IF(OR(Table1[[#This Row],[Type]]=0,Table1[[#This Row],[Type]]&gt;=40),"JA","SD")</f>
        <v>SD</v>
      </c>
      <c r="F375" t="s">
        <v>1766</v>
      </c>
      <c r="G375" s="661" t="s">
        <v>2402</v>
      </c>
      <c r="J375" s="653" t="str">
        <f>IFERROR(VLOOKUP(ROWS($J$2:J375),$A$2:$B$996,2,FALSE),"")</f>
        <v/>
      </c>
    </row>
    <row r="376" spans="1:10" ht="15" customHeight="1" x14ac:dyDescent="0.2">
      <c r="A376">
        <f>IF(ISNUMBER(SEARCH(Cover!$H$13,Table1[[#This Row],[School District]])),MAX($A$1:A375)+1,0)</f>
        <v>0</v>
      </c>
      <c r="B376" s="661" t="s">
        <v>990</v>
      </c>
      <c r="C376" s="1599">
        <v>53060126026</v>
      </c>
      <c r="D376" s="664">
        <v>26</v>
      </c>
      <c r="E376" t="str">
        <f>IF(OR(Table1[[#This Row],[Type]]=0,Table1[[#This Row],[Type]]&gt;=40),"JA","SD")</f>
        <v>SD</v>
      </c>
      <c r="F376" t="s">
        <v>1912</v>
      </c>
      <c r="G376" s="661" t="s">
        <v>2403</v>
      </c>
      <c r="J376" s="653" t="str">
        <f>IFERROR(VLOOKUP(ROWS($J$2:J376),$A$2:$B$996,2,FALSE),"")</f>
        <v/>
      </c>
    </row>
    <row r="377" spans="1:10" ht="15" customHeight="1" x14ac:dyDescent="0.2">
      <c r="A377">
        <f>IF(ISNUMBER(SEARCH(Cover!$H$13,Table1[[#This Row],[School District]])),MAX($A$1:A376)+1,0)</f>
        <v>0</v>
      </c>
      <c r="B377" s="661" t="s">
        <v>1171</v>
      </c>
      <c r="C377" s="1599">
        <v>34049073004</v>
      </c>
      <c r="D377" s="664">
        <v>4</v>
      </c>
      <c r="E377" t="str">
        <f>IF(OR(Table1[[#This Row],[Type]]=0,Table1[[#This Row],[Type]]&gt;=40),"JA","SD")</f>
        <v>SD</v>
      </c>
      <c r="F377" t="s">
        <v>1765</v>
      </c>
      <c r="G377" s="661" t="s">
        <v>2404</v>
      </c>
      <c r="J377" s="653" t="str">
        <f>IFERROR(VLOOKUP(ROWS($J$2:J377),$A$2:$B$996,2,FALSE),"")</f>
        <v/>
      </c>
    </row>
    <row r="378" spans="1:10" ht="15" customHeight="1" x14ac:dyDescent="0.2">
      <c r="A378">
        <f>IF(ISNUMBER(SEARCH(Cover!$H$13,Table1[[#This Row],[School District]])),MAX($A$1:A377)+1,0)</f>
        <v>0</v>
      </c>
      <c r="B378" s="661" t="s">
        <v>1492</v>
      </c>
      <c r="C378" s="1599">
        <v>7016152502</v>
      </c>
      <c r="D378" s="664">
        <v>2</v>
      </c>
      <c r="E378" t="str">
        <f>IF(OR(Table1[[#This Row],[Type]]=0,Table1[[#This Row],[Type]]&gt;=40),"JA","SD")</f>
        <v>SD</v>
      </c>
      <c r="F378" t="s">
        <v>1766</v>
      </c>
      <c r="G378" s="661" t="s">
        <v>2405</v>
      </c>
      <c r="J378" s="653" t="str">
        <f>IFERROR(VLOOKUP(ROWS($J$2:J378),$A$2:$B$996,2,FALSE),"")</f>
        <v/>
      </c>
    </row>
    <row r="379" spans="1:10" x14ac:dyDescent="0.2">
      <c r="A379">
        <f>IF(ISNUMBER(SEARCH(Cover!$H$13,Table1[[#This Row],[School District]])),MAX($A$1:A378)+1,0)</f>
        <v>0</v>
      </c>
      <c r="B379" t="s">
        <v>1675</v>
      </c>
      <c r="C379" s="1599">
        <v>17064000063</v>
      </c>
      <c r="D379" s="664">
        <v>63</v>
      </c>
      <c r="E379" t="str">
        <f>IF(OR(Table1[[#This Row],[Type]]=0,Table1[[#This Row],[Type]]&gt;=40),"JA","SD")</f>
        <v>JA</v>
      </c>
      <c r="F379" t="s">
        <v>3180</v>
      </c>
      <c r="G379" s="661" t="s">
        <v>2406</v>
      </c>
      <c r="J379" s="653" t="str">
        <f>IFERROR(VLOOKUP(ROWS($J$2:J379),$A$2:$B$996,2,FALSE),"")</f>
        <v/>
      </c>
    </row>
    <row r="380" spans="1:10" ht="15" customHeight="1" x14ac:dyDescent="0.2">
      <c r="A380">
        <f>IF(ISNUMBER(SEARCH(Cover!$H$13,Table1[[#This Row],[School District]])),MAX($A$1:A379)+1,0)</f>
        <v>0</v>
      </c>
      <c r="B380" t="s">
        <v>1708</v>
      </c>
      <c r="C380" s="1599">
        <v>39000000046</v>
      </c>
      <c r="D380" s="664">
        <v>46</v>
      </c>
      <c r="E380" t="str">
        <f>IF(OR(Table1[[#This Row],[Type]]=0,Table1[[#This Row],[Type]]&gt;=40),"JA","SD")</f>
        <v>JA</v>
      </c>
      <c r="F380" t="s">
        <v>1913</v>
      </c>
      <c r="G380" s="661" t="s">
        <v>2407</v>
      </c>
      <c r="J380" s="653" t="str">
        <f>IFERROR(VLOOKUP(ROWS($J$2:J380),$A$2:$B$996,2,FALSE),"")</f>
        <v/>
      </c>
    </row>
    <row r="381" spans="1:10" x14ac:dyDescent="0.2">
      <c r="A381">
        <f>IF(ISNUMBER(SEARCH(Cover!$H$13,Table1[[#This Row],[School District]])),MAX($A$1:A380)+1,0)</f>
        <v>0</v>
      </c>
      <c r="B381" t="s">
        <v>1709</v>
      </c>
      <c r="C381" s="1599">
        <v>39055061041</v>
      </c>
      <c r="D381" s="664">
        <v>41</v>
      </c>
      <c r="E381" t="str">
        <f>IF(OR(Table1[[#This Row],[Type]]=0,Table1[[#This Row],[Type]]&gt;=40),"JA","SD")</f>
        <v>JA</v>
      </c>
      <c r="F381" t="s">
        <v>1913</v>
      </c>
      <c r="G381" s="661" t="s">
        <v>2408</v>
      </c>
      <c r="J381" s="653" t="str">
        <f>IFERROR(VLOOKUP(ROWS($J$2:J381),$A$2:$B$996,2,FALSE),"")</f>
        <v/>
      </c>
    </row>
    <row r="382" spans="1:10" x14ac:dyDescent="0.2">
      <c r="A382">
        <f>IF(ISNUMBER(SEARCH(Cover!$H$13,Table1[[#This Row],[School District]])),MAX($A$1:A381)+1,0)</f>
        <v>0</v>
      </c>
      <c r="B382" s="661" t="s">
        <v>1123</v>
      </c>
      <c r="C382" s="1599">
        <v>35059005026</v>
      </c>
      <c r="D382" s="664">
        <v>26</v>
      </c>
      <c r="E382" t="str">
        <f>IF(OR(Table1[[#This Row],[Type]]=0,Table1[[#This Row],[Type]]&gt;=40),"JA","SD")</f>
        <v>SD</v>
      </c>
      <c r="F382" t="s">
        <v>1804</v>
      </c>
      <c r="G382" s="661" t="s">
        <v>2409</v>
      </c>
      <c r="J382" s="653" t="str">
        <f>IFERROR(VLOOKUP(ROWS($J$2:J382),$A$2:$B$996,2,FALSE),"")</f>
        <v/>
      </c>
    </row>
    <row r="383" spans="1:10" x14ac:dyDescent="0.2">
      <c r="A383">
        <f>IF(ISNUMBER(SEARCH(Cover!$H$13,Table1[[#This Row],[School District]])),MAX($A$1:A382)+1,0)</f>
        <v>0</v>
      </c>
      <c r="B383" t="s">
        <v>1689</v>
      </c>
      <c r="C383" s="1599">
        <v>28037801060</v>
      </c>
      <c r="D383" s="664">
        <v>60</v>
      </c>
      <c r="E383" t="str">
        <f>IF(OR(Table1[[#This Row],[Type]]=0,Table1[[#This Row],[Type]]&gt;=40),"JA","SD")</f>
        <v>JA</v>
      </c>
      <c r="F383" t="s">
        <v>1776</v>
      </c>
      <c r="G383" s="661" t="s">
        <v>2410</v>
      </c>
      <c r="J383" s="653" t="str">
        <f>IFERROR(VLOOKUP(ROWS($J$2:J383),$A$2:$B$996,2,FALSE),"")</f>
        <v/>
      </c>
    </row>
    <row r="384" spans="1:10" x14ac:dyDescent="0.2">
      <c r="A384">
        <f>IF(ISNUMBER(SEARCH(Cover!$H$13,Table1[[#This Row],[School District]])),MAX($A$1:A383)+1,0)</f>
        <v>0</v>
      </c>
      <c r="B384" s="661" t="s">
        <v>1914</v>
      </c>
      <c r="C384" s="1599">
        <v>9010008026</v>
      </c>
      <c r="D384" s="664">
        <v>26</v>
      </c>
      <c r="E384" t="str">
        <f>IF(OR(Table1[[#This Row],[Type]]=0,Table1[[#This Row],[Type]]&gt;=40),"JA","SD")</f>
        <v>SD</v>
      </c>
      <c r="F384" t="s">
        <v>3181</v>
      </c>
      <c r="G384" s="661" t="s">
        <v>2411</v>
      </c>
      <c r="J384" s="653" t="str">
        <f>IFERROR(VLOOKUP(ROWS($J$2:J384),$A$2:$B$996,2,FALSE),"")</f>
        <v/>
      </c>
    </row>
    <row r="385" spans="1:10" x14ac:dyDescent="0.2">
      <c r="A385">
        <f>IF(ISNUMBER(SEARCH(Cover!$H$13,Table1[[#This Row],[School District]])),MAX($A$1:A384)+1,0)</f>
        <v>0</v>
      </c>
      <c r="B385" s="661" t="s">
        <v>1282</v>
      </c>
      <c r="C385" s="1599">
        <v>21100004026</v>
      </c>
      <c r="D385" s="664">
        <v>26</v>
      </c>
      <c r="E385" t="str">
        <f>IF(OR(Table1[[#This Row],[Type]]=0,Table1[[#This Row],[Type]]&gt;=40),"JA","SD")</f>
        <v>SD</v>
      </c>
      <c r="F385" t="s">
        <v>1833</v>
      </c>
      <c r="G385" s="661" t="s">
        <v>2412</v>
      </c>
      <c r="J385" s="653" t="str">
        <f>IFERROR(VLOOKUP(ROWS($J$2:J385),$A$2:$B$996,2,FALSE),"")</f>
        <v/>
      </c>
    </row>
    <row r="386" spans="1:10" x14ac:dyDescent="0.2">
      <c r="A386">
        <f>IF(ISNUMBER(SEARCH(Cover!$H$13,Table1[[#This Row],[School District]])),MAX($A$1:A385)+1,0)</f>
        <v>0</v>
      </c>
      <c r="B386" s="661" t="s">
        <v>1205</v>
      </c>
      <c r="C386" s="1599">
        <v>32046002026</v>
      </c>
      <c r="D386" s="664">
        <v>26</v>
      </c>
      <c r="E386" t="str">
        <f>IF(OR(Table1[[#This Row],[Type]]=0,Table1[[#This Row],[Type]]&gt;=40),"JA","SD")</f>
        <v>SD</v>
      </c>
      <c r="F386" t="s">
        <v>1808</v>
      </c>
      <c r="G386" s="661" t="s">
        <v>2413</v>
      </c>
      <c r="J386" s="653" t="str">
        <f>IFERROR(VLOOKUP(ROWS($J$2:J386),$A$2:$B$996,2,FALSE),"")</f>
        <v/>
      </c>
    </row>
    <row r="387" spans="1:10" x14ac:dyDescent="0.2">
      <c r="A387">
        <f>IF(ISNUMBER(SEARCH(Cover!$H$13,Table1[[#This Row],[School District]])),MAX($A$1:A386)+1,0)</f>
        <v>0</v>
      </c>
      <c r="B387" s="661" t="s">
        <v>1353</v>
      </c>
      <c r="C387" s="1599">
        <v>17064004026</v>
      </c>
      <c r="D387" s="664">
        <v>26</v>
      </c>
      <c r="E387" t="str">
        <f>IF(OR(Table1[[#This Row],[Type]]=0,Table1[[#This Row],[Type]]&gt;=40),"JA","SD")</f>
        <v>SD</v>
      </c>
      <c r="F387" t="s">
        <v>1801</v>
      </c>
      <c r="G387" s="661" t="s">
        <v>2414</v>
      </c>
      <c r="J387" s="653" t="str">
        <f>IFERROR(VLOOKUP(ROWS($J$2:J387),$A$2:$B$996,2,FALSE),"")</f>
        <v/>
      </c>
    </row>
    <row r="388" spans="1:10" x14ac:dyDescent="0.2">
      <c r="A388">
        <f>IF(ISNUMBER(SEARCH(Cover!$H$13,Table1[[#This Row],[School District]])),MAX($A$1:A387)+1,0)</f>
        <v>0</v>
      </c>
      <c r="B388" s="661" t="s">
        <v>1377</v>
      </c>
      <c r="C388" s="1599">
        <v>16019426026</v>
      </c>
      <c r="D388" s="664">
        <v>26</v>
      </c>
      <c r="E388" t="str">
        <f>IF(OR(Table1[[#This Row],[Type]]=0,Table1[[#This Row],[Type]]&gt;=40),"JA","SD")</f>
        <v>SD</v>
      </c>
      <c r="F388" t="s">
        <v>3182</v>
      </c>
      <c r="G388" s="661" t="s">
        <v>2415</v>
      </c>
      <c r="J388" s="653" t="str">
        <f>IFERROR(VLOOKUP(ROWS($J$2:J388),$A$2:$B$996,2,FALSE),"")</f>
        <v/>
      </c>
    </row>
    <row r="389" spans="1:10" x14ac:dyDescent="0.2">
      <c r="A389">
        <f>IF(ISNUMBER(SEARCH(Cover!$H$13,Table1[[#This Row],[School District]])),MAX($A$1:A388)+1,0)</f>
        <v>0</v>
      </c>
      <c r="B389" s="661" t="s">
        <v>1013</v>
      </c>
      <c r="C389" s="1599">
        <v>50082116002</v>
      </c>
      <c r="D389" s="664">
        <v>2</v>
      </c>
      <c r="E389" t="str">
        <f>IF(OR(Table1[[#This Row],[Type]]=0,Table1[[#This Row],[Type]]&gt;=40),"JA","SD")</f>
        <v>SD</v>
      </c>
      <c r="F389" t="s">
        <v>3134</v>
      </c>
      <c r="G389" s="661" t="s">
        <v>2416</v>
      </c>
      <c r="J389" s="653" t="str">
        <f>IFERROR(VLOOKUP(ROWS($J$2:J389),$A$2:$B$996,2,FALSE),"")</f>
        <v/>
      </c>
    </row>
    <row r="390" spans="1:10" x14ac:dyDescent="0.2">
      <c r="A390">
        <f>IF(ISNUMBER(SEARCH(Cover!$H$13,Table1[[#This Row],[School District]])),MAX($A$1:A389)+1,0)</f>
        <v>0</v>
      </c>
      <c r="B390" s="661" t="s">
        <v>1101</v>
      </c>
      <c r="C390" s="1599">
        <v>41057005026</v>
      </c>
      <c r="D390" s="664">
        <v>26</v>
      </c>
      <c r="E390" t="str">
        <f>IF(OR(Table1[[#This Row],[Type]]=0,Table1[[#This Row],[Type]]&gt;=40),"JA","SD")</f>
        <v>SD</v>
      </c>
      <c r="F390" t="s">
        <v>3183</v>
      </c>
      <c r="G390" s="661" t="s">
        <v>2417</v>
      </c>
      <c r="J390" s="653" t="str">
        <f>IFERROR(VLOOKUP(ROWS($J$2:J390),$A$2:$B$996,2,FALSE),"")</f>
        <v/>
      </c>
    </row>
    <row r="391" spans="1:10" x14ac:dyDescent="0.2">
      <c r="A391">
        <f>IF(ISNUMBER(SEARCH(Cover!$H$13,Table1[[#This Row],[School District]])),MAX($A$1:A390)+1,0)</f>
        <v>0</v>
      </c>
      <c r="B391" s="661" t="s">
        <v>1600</v>
      </c>
      <c r="C391" s="1599">
        <v>3068003026</v>
      </c>
      <c r="D391" s="664">
        <v>26</v>
      </c>
      <c r="E391" t="str">
        <f>IF(OR(Table1[[#This Row],[Type]]=0,Table1[[#This Row],[Type]]&gt;=40),"JA","SD")</f>
        <v>SD</v>
      </c>
      <c r="F391" t="s">
        <v>1915</v>
      </c>
      <c r="G391" s="661" t="s">
        <v>2418</v>
      </c>
      <c r="J391" s="653" t="str">
        <f>IFERROR(VLOOKUP(ROWS($J$2:J391),$A$2:$B$996,2,FALSE),"")</f>
        <v/>
      </c>
    </row>
    <row r="392" spans="1:10" x14ac:dyDescent="0.2">
      <c r="A392">
        <f>IF(ISNUMBER(SEARCH(Cover!$H$13,Table1[[#This Row],[School District]])),MAX($A$1:A391)+1,0)</f>
        <v>0</v>
      </c>
      <c r="B392" s="661" t="s">
        <v>1539</v>
      </c>
      <c r="C392" s="1599">
        <v>6016093002</v>
      </c>
      <c r="D392" s="664">
        <v>2</v>
      </c>
      <c r="E392" t="str">
        <f>IF(OR(Table1[[#This Row],[Type]]=0,Table1[[#This Row],[Type]]&gt;=40),"JA","SD")</f>
        <v>SD</v>
      </c>
      <c r="F392" t="s">
        <v>1766</v>
      </c>
      <c r="G392" s="661" t="s">
        <v>2419</v>
      </c>
      <c r="J392" s="653" t="str">
        <f>IFERROR(VLOOKUP(ROWS($J$2:J392),$A$2:$B$996,2,FALSE),"")</f>
        <v/>
      </c>
    </row>
    <row r="393" spans="1:10" x14ac:dyDescent="0.2">
      <c r="A393">
        <f>IF(ISNUMBER(SEARCH(Cover!$H$13,Table1[[#This Row],[School District]])),MAX($A$1:A392)+1,0)</f>
        <v>0</v>
      </c>
      <c r="B393" s="661" t="s">
        <v>1374</v>
      </c>
      <c r="C393" s="1599">
        <v>16019429026</v>
      </c>
      <c r="D393" s="664">
        <v>26</v>
      </c>
      <c r="E393" t="str">
        <f>IF(OR(Table1[[#This Row],[Type]]=0,Table1[[#This Row],[Type]]&gt;=40),"JA","SD")</f>
        <v>SD</v>
      </c>
      <c r="F393" t="s">
        <v>3184</v>
      </c>
      <c r="G393" s="661" t="s">
        <v>2420</v>
      </c>
      <c r="J393" s="653" t="str">
        <f>IFERROR(VLOOKUP(ROWS($J$2:J393),$A$2:$B$996,2,FALSE),"")</f>
        <v/>
      </c>
    </row>
    <row r="394" spans="1:10" x14ac:dyDescent="0.2">
      <c r="A394">
        <f>IF(ISNUMBER(SEARCH(Cover!$H$13,Table1[[#This Row],[School District]])),MAX($A$1:A393)+1,0)</f>
        <v>0</v>
      </c>
      <c r="B394" s="661" t="s">
        <v>1916</v>
      </c>
      <c r="C394" s="1599">
        <v>19022181004</v>
      </c>
      <c r="D394" s="664">
        <v>4</v>
      </c>
      <c r="E394" t="str">
        <f>IF(OR(Table1[[#This Row],[Type]]=0,Table1[[#This Row],[Type]]&gt;=40),"JA","SD")</f>
        <v>SD</v>
      </c>
      <c r="F394" t="s">
        <v>3172</v>
      </c>
      <c r="G394" s="661" t="s">
        <v>2421</v>
      </c>
      <c r="J394" s="653" t="str">
        <f>IFERROR(VLOOKUP(ROWS($J$2:J394),$A$2:$B$996,2,FALSE),"")</f>
        <v/>
      </c>
    </row>
    <row r="395" spans="1:10" x14ac:dyDescent="0.2">
      <c r="A395">
        <f>IF(ISNUMBER(SEARCH(Cover!$H$13,Table1[[#This Row],[School District]])),MAX($A$1:A394)+1,0)</f>
        <v>0</v>
      </c>
      <c r="B395" s="661" t="s">
        <v>1326</v>
      </c>
      <c r="C395" s="1599">
        <v>19022086017</v>
      </c>
      <c r="D395" s="664">
        <v>17</v>
      </c>
      <c r="E395" t="str">
        <f>IF(OR(Table1[[#This Row],[Type]]=0,Table1[[#This Row],[Type]]&gt;=40),"JA","SD")</f>
        <v>SD</v>
      </c>
      <c r="F395" t="s">
        <v>3143</v>
      </c>
      <c r="G395" s="661" t="s">
        <v>2422</v>
      </c>
      <c r="J395" s="653" t="str">
        <f>IFERROR(VLOOKUP(ROWS($J$2:J395),$A$2:$B$996,2,FALSE),"")</f>
        <v/>
      </c>
    </row>
    <row r="396" spans="1:10" x14ac:dyDescent="0.2">
      <c r="A396">
        <f>IF(ISNUMBER(SEARCH(Cover!$H$13,Table1[[#This Row],[School District]])),MAX($A$1:A395)+1,0)</f>
        <v>0</v>
      </c>
      <c r="B396" s="661" t="s">
        <v>1917</v>
      </c>
      <c r="C396" s="1599">
        <v>48072328003</v>
      </c>
      <c r="D396" s="664">
        <v>3</v>
      </c>
      <c r="E396" t="str">
        <f>IF(OR(Table1[[#This Row],[Type]]=0,Table1[[#This Row],[Type]]&gt;=40),"JA","SD")</f>
        <v>SD</v>
      </c>
      <c r="F396" t="s">
        <v>1790</v>
      </c>
      <c r="G396" s="661" t="s">
        <v>2423</v>
      </c>
      <c r="J396" s="653" t="str">
        <f>IFERROR(VLOOKUP(ROWS($J$2:J396),$A$2:$B$996,2,FALSE),"")</f>
        <v/>
      </c>
    </row>
    <row r="397" spans="1:10" x14ac:dyDescent="0.2">
      <c r="A397">
        <f>IF(ISNUMBER(SEARCH(Cover!$H$13,Table1[[#This Row],[School District]])),MAX($A$1:A396)+1,0)</f>
        <v>0</v>
      </c>
      <c r="B397" s="661" t="s">
        <v>916</v>
      </c>
      <c r="C397" s="1599" t="s">
        <v>917</v>
      </c>
      <c r="D397" s="664">
        <v>4</v>
      </c>
      <c r="E397" t="str">
        <f>IF(OR(Table1[[#This Row],[Type]]=0,Table1[[#This Row],[Type]]&gt;=40),"JA","SD")</f>
        <v>SD</v>
      </c>
      <c r="F397" t="s">
        <v>1793</v>
      </c>
      <c r="G397" s="661" t="s">
        <v>2424</v>
      </c>
      <c r="J397" s="653" t="str">
        <f>IFERROR(VLOOKUP(ROWS($J$2:J397),$A$2:$B$996,2,FALSE),"")</f>
        <v/>
      </c>
    </row>
    <row r="398" spans="1:10" x14ac:dyDescent="0.2">
      <c r="A398">
        <f>IF(ISNUMBER(SEARCH(Cover!$H$13,Table1[[#This Row],[School District]])),MAX($A$1:A397)+1,0)</f>
        <v>0</v>
      </c>
      <c r="B398" s="661" t="s">
        <v>1463</v>
      </c>
      <c r="C398" s="1599">
        <v>7016233016</v>
      </c>
      <c r="D398" s="664">
        <v>16</v>
      </c>
      <c r="E398" t="str">
        <f>IF(OR(Table1[[#This Row],[Type]]=0,Table1[[#This Row],[Type]]&gt;=40),"JA","SD")</f>
        <v>SD</v>
      </c>
      <c r="F398" t="s">
        <v>1766</v>
      </c>
      <c r="G398" s="661" t="s">
        <v>2425</v>
      </c>
      <c r="J398" s="653" t="str">
        <f>IFERROR(VLOOKUP(ROWS($J$2:J398),$A$2:$B$996,2,FALSE),"")</f>
        <v/>
      </c>
    </row>
    <row r="399" spans="1:10" x14ac:dyDescent="0.2">
      <c r="A399">
        <f>IF(ISNUMBER(SEARCH(Cover!$H$13,Table1[[#This Row],[School District]])),MAX($A$1:A398)+1,0)</f>
        <v>0</v>
      </c>
      <c r="B399" s="661" t="s">
        <v>1491</v>
      </c>
      <c r="C399" s="1599">
        <v>7016153002</v>
      </c>
      <c r="D399" s="664">
        <v>2</v>
      </c>
      <c r="E399" t="str">
        <f>IF(OR(Table1[[#This Row],[Type]]=0,Table1[[#This Row],[Type]]&gt;=40),"JA","SD")</f>
        <v>SD</v>
      </c>
      <c r="F399" t="s">
        <v>1766</v>
      </c>
      <c r="G399" s="661" t="s">
        <v>2426</v>
      </c>
      <c r="J399" s="653" t="str">
        <f>IFERROR(VLOOKUP(ROWS($J$2:J399),$A$2:$B$996,2,FALSE),"")</f>
        <v/>
      </c>
    </row>
    <row r="400" spans="1:10" x14ac:dyDescent="0.2">
      <c r="A400">
        <f>IF(ISNUMBER(SEARCH(Cover!$H$13,Table1[[#This Row],[School District]])),MAX($A$1:A399)+1,0)</f>
        <v>0</v>
      </c>
      <c r="B400" s="661" t="s">
        <v>1591</v>
      </c>
      <c r="C400" s="1599">
        <v>4101207016</v>
      </c>
      <c r="D400" s="664">
        <v>16</v>
      </c>
      <c r="E400" t="str">
        <f>IF(OR(Table1[[#This Row],[Type]]=0,Table1[[#This Row],[Type]]&gt;=40),"JA","SD")</f>
        <v>SD</v>
      </c>
      <c r="F400" t="s">
        <v>3133</v>
      </c>
      <c r="G400" s="661" t="s">
        <v>2427</v>
      </c>
      <c r="J400" s="653" t="str">
        <f>IFERROR(VLOOKUP(ROWS($J$2:J400),$A$2:$B$996,2,FALSE),"")</f>
        <v/>
      </c>
    </row>
    <row r="401" spans="1:10" ht="15" customHeight="1" x14ac:dyDescent="0.2">
      <c r="A401">
        <f>IF(ISNUMBER(SEARCH(Cover!$H$13,Table1[[#This Row],[School District]])),MAX($A$1:A400)+1,0)</f>
        <v>0</v>
      </c>
      <c r="B401" s="661" t="s">
        <v>961</v>
      </c>
      <c r="C401" s="1599">
        <v>54092011026</v>
      </c>
      <c r="D401" s="664">
        <v>26</v>
      </c>
      <c r="E401" t="str">
        <f>IF(OR(Table1[[#This Row],[Type]]=0,Table1[[#This Row],[Type]]&gt;=40),"JA","SD")</f>
        <v>SD</v>
      </c>
      <c r="F401" t="s">
        <v>1783</v>
      </c>
      <c r="G401" s="661" t="s">
        <v>2428</v>
      </c>
      <c r="J401" s="653" t="str">
        <f>IFERROR(VLOOKUP(ROWS($J$2:J401),$A$2:$B$996,2,FALSE),"")</f>
        <v/>
      </c>
    </row>
    <row r="402" spans="1:10" x14ac:dyDescent="0.2">
      <c r="A402">
        <f>IF(ISNUMBER(SEARCH(Cover!$H$13,Table1[[#This Row],[School District]])),MAX($A$1:A401)+1,0)</f>
        <v>0</v>
      </c>
      <c r="B402" s="661" t="s">
        <v>1486</v>
      </c>
      <c r="C402" s="1599">
        <v>7016157002</v>
      </c>
      <c r="D402" s="664">
        <v>2</v>
      </c>
      <c r="E402" t="str">
        <f>IF(OR(Table1[[#This Row],[Type]]=0,Table1[[#This Row],[Type]]&gt;=40),"JA","SD")</f>
        <v>SD</v>
      </c>
      <c r="F402" t="s">
        <v>1766</v>
      </c>
      <c r="G402" s="661" t="s">
        <v>2429</v>
      </c>
      <c r="J402" s="653" t="str">
        <f>IFERROR(VLOOKUP(ROWS($J$2:J402),$A$2:$B$996,2,FALSE),"")</f>
        <v/>
      </c>
    </row>
    <row r="403" spans="1:10" x14ac:dyDescent="0.2">
      <c r="A403">
        <f>IF(ISNUMBER(SEARCH(Cover!$H$13,Table1[[#This Row],[School District]])),MAX($A$1:A402)+1,0)</f>
        <v>0</v>
      </c>
      <c r="B403" s="661" t="s">
        <v>1918</v>
      </c>
      <c r="C403" s="1599">
        <v>44063158022</v>
      </c>
      <c r="D403" s="664">
        <v>22</v>
      </c>
      <c r="E403" t="str">
        <f>IF(OR(Table1[[#This Row],[Type]]=0,Table1[[#This Row],[Type]]&gt;=40),"JA","SD")</f>
        <v>SD</v>
      </c>
      <c r="F403" t="s">
        <v>3185</v>
      </c>
      <c r="G403" s="661" t="s">
        <v>2430</v>
      </c>
      <c r="J403" s="653" t="str">
        <f>IFERROR(VLOOKUP(ROWS($J$2:J403),$A$2:$B$996,2,FALSE),"")</f>
        <v/>
      </c>
    </row>
    <row r="404" spans="1:10" x14ac:dyDescent="0.2">
      <c r="A404">
        <f>IF(ISNUMBER(SEARCH(Cover!$H$13,Table1[[#This Row],[School District]])),MAX($A$1:A403)+1,0)</f>
        <v>0</v>
      </c>
      <c r="B404" s="661" t="s">
        <v>1419</v>
      </c>
      <c r="C404" s="1599">
        <v>12017001026</v>
      </c>
      <c r="D404" s="664">
        <v>26</v>
      </c>
      <c r="E404" t="str">
        <f>IF(OR(Table1[[#This Row],[Type]]=0,Table1[[#This Row],[Type]]&gt;=40),"JA","SD")</f>
        <v>SD</v>
      </c>
      <c r="F404" t="s">
        <v>1919</v>
      </c>
      <c r="G404" s="661" t="s">
        <v>2431</v>
      </c>
      <c r="J404" s="653" t="str">
        <f>IFERROR(VLOOKUP(ROWS($J$2:J404),$A$2:$B$996,2,FALSE),"")</f>
        <v/>
      </c>
    </row>
    <row r="405" spans="1:10" x14ac:dyDescent="0.2">
      <c r="A405">
        <f>IF(ISNUMBER(SEARCH(Cover!$H$13,Table1[[#This Row],[School District]])),MAX($A$1:A404)+1,0)</f>
        <v>0</v>
      </c>
      <c r="B405" t="s">
        <v>1667</v>
      </c>
      <c r="C405" s="1599">
        <v>15016225061</v>
      </c>
      <c r="D405" s="664">
        <v>61</v>
      </c>
      <c r="E405" t="str">
        <f>IF(OR(Table1[[#This Row],[Type]]=0,Table1[[#This Row],[Type]]&gt;=40),"JA","SD")</f>
        <v>JA</v>
      </c>
      <c r="F405" t="s">
        <v>1766</v>
      </c>
      <c r="G405" s="661" t="s">
        <v>2432</v>
      </c>
      <c r="J405" s="653" t="str">
        <f>IFERROR(VLOOKUP(ROWS($J$2:J405),$A$2:$B$996,2,FALSE),"")</f>
        <v/>
      </c>
    </row>
    <row r="406" spans="1:10" x14ac:dyDescent="0.2">
      <c r="A406">
        <f>IF(ISNUMBER(SEARCH(Cover!$H$13,Table1[[#This Row],[School District]])),MAX($A$1:A405)+1,0)</f>
        <v>0</v>
      </c>
      <c r="B406" s="661" t="s">
        <v>1920</v>
      </c>
      <c r="C406" s="1599">
        <v>48072321026</v>
      </c>
      <c r="D406" s="664">
        <v>26</v>
      </c>
      <c r="E406" t="str">
        <f>IF(OR(Table1[[#This Row],[Type]]=0,Table1[[#This Row],[Type]]&gt;=40),"JA","SD")</f>
        <v>SD</v>
      </c>
      <c r="F406" t="s">
        <v>3268</v>
      </c>
      <c r="G406" s="661" t="s">
        <v>2433</v>
      </c>
      <c r="J406" s="653" t="str">
        <f>IFERROR(VLOOKUP(ROWS($J$2:J406),$A$2:$B$996,2,FALSE),"")</f>
        <v/>
      </c>
    </row>
    <row r="407" spans="1:10" x14ac:dyDescent="0.2">
      <c r="A407">
        <f>IF(ISNUMBER(SEARCH(Cover!$H$13,Table1[[#This Row],[School District]])),MAX($A$1:A406)+1,0)</f>
        <v>0</v>
      </c>
      <c r="B407" s="661" t="s">
        <v>1035</v>
      </c>
      <c r="C407" s="1599">
        <v>48072327026</v>
      </c>
      <c r="D407" s="664">
        <v>26</v>
      </c>
      <c r="E407" t="str">
        <f>IF(OR(Table1[[#This Row],[Type]]=0,Table1[[#This Row],[Type]]&gt;=40),"JA","SD")</f>
        <v>SD</v>
      </c>
      <c r="F407" t="s">
        <v>3269</v>
      </c>
      <c r="G407" s="661" t="s">
        <v>2434</v>
      </c>
      <c r="J407" s="653" t="str">
        <f>IFERROR(VLOOKUP(ROWS($J$2:J407),$A$2:$B$996,2,FALSE),"")</f>
        <v/>
      </c>
    </row>
    <row r="408" spans="1:10" x14ac:dyDescent="0.2">
      <c r="A408">
        <f>IF(ISNUMBER(SEARCH(Cover!$H$13,Table1[[#This Row],[School District]])),MAX($A$1:A407)+1,0)</f>
        <v>0</v>
      </c>
      <c r="B408" s="661" t="s">
        <v>989</v>
      </c>
      <c r="C408" s="1599">
        <v>53060189026</v>
      </c>
      <c r="D408" s="664">
        <v>26</v>
      </c>
      <c r="E408" t="str">
        <f>IF(OR(Table1[[#This Row],[Type]]=0,Table1[[#This Row],[Type]]&gt;=40),"JA","SD")</f>
        <v>SD</v>
      </c>
      <c r="F408" t="s">
        <v>1912</v>
      </c>
      <c r="G408" s="661" t="s">
        <v>2435</v>
      </c>
      <c r="J408" s="653" t="str">
        <f>IFERROR(VLOOKUP(ROWS($J$2:J408),$A$2:$B$996,2,FALSE),"")</f>
        <v/>
      </c>
    </row>
    <row r="409" spans="1:10" ht="15" customHeight="1" x14ac:dyDescent="0.2">
      <c r="A409">
        <f>IF(ISNUMBER(SEARCH(Cover!$H$13,Table1[[#This Row],[School District]])),MAX($A$1:A408)+1,0)</f>
        <v>0</v>
      </c>
      <c r="B409" s="661" t="s">
        <v>1921</v>
      </c>
      <c r="C409" s="1599">
        <v>26034307016</v>
      </c>
      <c r="D409" s="664">
        <v>16</v>
      </c>
      <c r="E409" t="str">
        <f>IF(OR(Table1[[#This Row],[Type]]=0,Table1[[#This Row],[Type]]&gt;=40),"JA","SD")</f>
        <v>SD</v>
      </c>
      <c r="F409" t="s">
        <v>1834</v>
      </c>
      <c r="G409" s="661" t="s">
        <v>2436</v>
      </c>
      <c r="J409" s="653" t="str">
        <f>IFERROR(VLOOKUP(ROWS($J$2:J409),$A$2:$B$996,2,FALSE),"")</f>
        <v/>
      </c>
    </row>
    <row r="410" spans="1:10" ht="15" customHeight="1" x14ac:dyDescent="0.2">
      <c r="A410">
        <f>IF(ISNUMBER(SEARCH(Cover!$H$13,Table1[[#This Row],[School District]])),MAX($A$1:A409)+1,0)</f>
        <v>0</v>
      </c>
      <c r="B410" s="661" t="s">
        <v>1378</v>
      </c>
      <c r="C410" s="1599">
        <v>16019425026</v>
      </c>
      <c r="D410" s="664">
        <v>26</v>
      </c>
      <c r="E410" t="str">
        <f>IF(OR(Table1[[#This Row],[Type]]=0,Table1[[#This Row],[Type]]&gt;=40),"JA","SD")</f>
        <v>SD</v>
      </c>
      <c r="F410" t="s">
        <v>1932</v>
      </c>
      <c r="G410" s="661" t="s">
        <v>2437</v>
      </c>
      <c r="J410" s="653" t="str">
        <f>IFERROR(VLOOKUP(ROWS($J$2:J410),$A$2:$B$996,2,FALSE),"")</f>
        <v/>
      </c>
    </row>
    <row r="411" spans="1:10" x14ac:dyDescent="0.2">
      <c r="A411">
        <f>IF(ISNUMBER(SEARCH(Cover!$H$13,Table1[[#This Row],[School District]])),MAX($A$1:A410)+1,0)</f>
        <v>0</v>
      </c>
      <c r="B411" s="661" t="s">
        <v>1315</v>
      </c>
      <c r="C411" s="1599">
        <v>19022204026</v>
      </c>
      <c r="D411" s="664">
        <v>26</v>
      </c>
      <c r="E411" t="str">
        <f>IF(OR(Table1[[#This Row],[Type]]=0,Table1[[#This Row],[Type]]&gt;=40),"JA","SD")</f>
        <v>SD</v>
      </c>
      <c r="F411" t="s">
        <v>3143</v>
      </c>
      <c r="G411" s="661" t="s">
        <v>2438</v>
      </c>
      <c r="J411" s="653" t="str">
        <f>IFERROR(VLOOKUP(ROWS($J$2:J411),$A$2:$B$996,2,FALSE),"")</f>
        <v/>
      </c>
    </row>
    <row r="412" spans="1:10" ht="15" customHeight="1" x14ac:dyDescent="0.2">
      <c r="A412">
        <f>IF(ISNUMBER(SEARCH(Cover!$H$13,Table1[[#This Row],[School District]])),MAX($A$1:A411)+1,0)</f>
        <v>0</v>
      </c>
      <c r="B412" s="661" t="s">
        <v>1518</v>
      </c>
      <c r="C412" s="1599">
        <v>7016109002</v>
      </c>
      <c r="D412" s="664">
        <v>2</v>
      </c>
      <c r="E412" t="str">
        <f>IF(OR(Table1[[#This Row],[Type]]=0,Table1[[#This Row],[Type]]&gt;=40),"JA","SD")</f>
        <v>SD</v>
      </c>
      <c r="F412" t="s">
        <v>1766</v>
      </c>
      <c r="G412" s="661" t="s">
        <v>2439</v>
      </c>
      <c r="J412" s="653" t="str">
        <f>IFERROR(VLOOKUP(ROWS($J$2:J412),$A$2:$B$996,2,FALSE),"")</f>
        <v/>
      </c>
    </row>
    <row r="413" spans="1:10" x14ac:dyDescent="0.2">
      <c r="A413">
        <f>IF(ISNUMBER(SEARCH(Cover!$H$13,Table1[[#This Row],[School District]])),MAX($A$1:A412)+1,0)</f>
        <v>0</v>
      </c>
      <c r="B413" t="s">
        <v>1669</v>
      </c>
      <c r="C413" s="1599">
        <v>16019430040</v>
      </c>
      <c r="D413" s="664">
        <v>40</v>
      </c>
      <c r="E413" t="str">
        <f>IF(OR(Table1[[#This Row],[Type]]=0,Table1[[#This Row],[Type]]&gt;=40),"JA","SD")</f>
        <v>JA</v>
      </c>
      <c r="F413" t="s">
        <v>1932</v>
      </c>
      <c r="G413" s="661" t="s">
        <v>2440</v>
      </c>
      <c r="J413" s="653" t="str">
        <f>IFERROR(VLOOKUP(ROWS($J$2:J413),$A$2:$B$996,2,FALSE),"")</f>
        <v/>
      </c>
    </row>
    <row r="414" spans="1:10" x14ac:dyDescent="0.2">
      <c r="A414">
        <f>IF(ISNUMBER(SEARCH(Cover!$H$13,Table1[[#This Row],[School District]])),MAX($A$1:A413)+1,0)</f>
        <v>0</v>
      </c>
      <c r="B414" t="s">
        <v>1696</v>
      </c>
      <c r="C414" s="1599">
        <v>32000000047</v>
      </c>
      <c r="D414" s="664">
        <v>47</v>
      </c>
      <c r="E414" t="str">
        <f>IF(OR(Table1[[#This Row],[Type]]=0,Table1[[#This Row],[Type]]&gt;=40),"JA","SD")</f>
        <v>JA</v>
      </c>
      <c r="F414" t="s">
        <v>1844</v>
      </c>
      <c r="G414" s="661" t="s">
        <v>2441</v>
      </c>
      <c r="J414" s="653" t="str">
        <f>IFERROR(VLOOKUP(ROWS($J$2:J414),$A$2:$B$996,2,FALSE),"")</f>
        <v/>
      </c>
    </row>
    <row r="415" spans="1:10" x14ac:dyDescent="0.2">
      <c r="A415">
        <f>IF(ISNUMBER(SEARCH(Cover!$H$13,Table1[[#This Row],[School District]])),MAX($A$1:A414)+1,0)</f>
        <v>0</v>
      </c>
      <c r="B415" s="661" t="s">
        <v>1922</v>
      </c>
      <c r="C415" s="1599">
        <v>32038009026</v>
      </c>
      <c r="D415" s="664">
        <v>26</v>
      </c>
      <c r="E415" t="str">
        <f>IF(OR(Table1[[#This Row],[Type]]=0,Table1[[#This Row],[Type]]&gt;=40),"JA","SD")</f>
        <v>SD</v>
      </c>
      <c r="F415" t="s">
        <v>1844</v>
      </c>
      <c r="G415" s="661" t="s">
        <v>2442</v>
      </c>
      <c r="J415" s="653" t="str">
        <f>IFERROR(VLOOKUP(ROWS($J$2:J415),$A$2:$B$996,2,FALSE),"")</f>
        <v/>
      </c>
    </row>
    <row r="416" spans="1:10" x14ac:dyDescent="0.2">
      <c r="A416">
        <f>IF(ISNUMBER(SEARCH(Cover!$H$13,Table1[[#This Row],[School District]])),MAX($A$1:A415)+1,0)</f>
        <v>0</v>
      </c>
      <c r="B416" t="s">
        <v>1697</v>
      </c>
      <c r="C416" s="1599">
        <v>32038801060</v>
      </c>
      <c r="D416" s="664">
        <v>60</v>
      </c>
      <c r="E416" t="str">
        <f>IF(OR(Table1[[#This Row],[Type]]=0,Table1[[#This Row],[Type]]&gt;=40),"JA","SD")</f>
        <v>JA</v>
      </c>
      <c r="F416" t="s">
        <v>1844</v>
      </c>
      <c r="G416" s="661" t="s">
        <v>2443</v>
      </c>
      <c r="J416" s="653" t="str">
        <f>IFERROR(VLOOKUP(ROWS($J$2:J416),$A$2:$B$996,2,FALSE),"")</f>
        <v/>
      </c>
    </row>
    <row r="417" spans="1:10" x14ac:dyDescent="0.2">
      <c r="A417">
        <f>IF(ISNUMBER(SEARCH(Cover!$H$13,Table1[[#This Row],[School District]])),MAX($A$1:A416)+1,0)</f>
        <v>0</v>
      </c>
      <c r="B417" s="661" t="s">
        <v>1208</v>
      </c>
      <c r="C417" s="1599">
        <v>32038010026</v>
      </c>
      <c r="D417" s="664">
        <v>26</v>
      </c>
      <c r="E417" t="str">
        <f>IF(OR(Table1[[#This Row],[Type]]=0,Table1[[#This Row],[Type]]&gt;=40),"JA","SD")</f>
        <v>SD</v>
      </c>
      <c r="F417" t="s">
        <v>1844</v>
      </c>
      <c r="G417" s="661" t="s">
        <v>2444</v>
      </c>
      <c r="J417" s="653" t="str">
        <f>IFERROR(VLOOKUP(ROWS($J$2:J417),$A$2:$B$996,2,FALSE),"")</f>
        <v/>
      </c>
    </row>
    <row r="418" spans="1:10" ht="15" customHeight="1" x14ac:dyDescent="0.2">
      <c r="A418">
        <f>IF(ISNUMBER(SEARCH(Cover!$H$13,Table1[[#This Row],[School District]])),MAX($A$1:A417)+1,0)</f>
        <v>0</v>
      </c>
      <c r="B418" s="661" t="s">
        <v>1383</v>
      </c>
      <c r="C418" s="1599">
        <v>13095011004</v>
      </c>
      <c r="D418" s="664">
        <v>4</v>
      </c>
      <c r="E418" t="str">
        <f>IF(OR(Table1[[#This Row],[Type]]=0,Table1[[#This Row],[Type]]&gt;=40),"JA","SD")</f>
        <v>SD</v>
      </c>
      <c r="F418" t="s">
        <v>1785</v>
      </c>
      <c r="G418" s="661" t="s">
        <v>2445</v>
      </c>
      <c r="J418" s="653" t="str">
        <f>IFERROR(VLOOKUP(ROWS($J$2:J418),$A$2:$B$996,2,FALSE),"")</f>
        <v/>
      </c>
    </row>
    <row r="419" spans="1:10" x14ac:dyDescent="0.2">
      <c r="A419">
        <f>IF(ISNUMBER(SEARCH(Cover!$H$13,Table1[[#This Row],[School District]])),MAX($A$1:A418)+1,0)</f>
        <v>0</v>
      </c>
      <c r="B419" s="661" t="s">
        <v>1345</v>
      </c>
      <c r="C419" s="1599">
        <v>19022010002</v>
      </c>
      <c r="D419" s="664">
        <v>2</v>
      </c>
      <c r="E419" t="str">
        <f>IF(OR(Table1[[#This Row],[Type]]=0,Table1[[#This Row],[Type]]&gt;=40),"JA","SD")</f>
        <v>SD</v>
      </c>
      <c r="F419" t="s">
        <v>3143</v>
      </c>
      <c r="G419" s="661" t="s">
        <v>2446</v>
      </c>
      <c r="J419" s="653" t="str">
        <f>IFERROR(VLOOKUP(ROWS($J$2:J419),$A$2:$B$996,2,FALSE),"")</f>
        <v/>
      </c>
    </row>
    <row r="420" spans="1:10" ht="15" customHeight="1" x14ac:dyDescent="0.2">
      <c r="A420">
        <f>IF(ISNUMBER(SEARCH(Cover!$H$13,Table1[[#This Row],[School District]])),MAX($A$1:A419)+1,0)</f>
        <v>0</v>
      </c>
      <c r="B420" s="661" t="s">
        <v>1394</v>
      </c>
      <c r="C420" s="1599">
        <v>13058007004</v>
      </c>
      <c r="D420" s="664">
        <v>4</v>
      </c>
      <c r="E420" t="str">
        <f>IF(OR(Table1[[#This Row],[Type]]=0,Table1[[#This Row],[Type]]&gt;=40),"JA","SD")</f>
        <v>SD</v>
      </c>
      <c r="F420" t="s">
        <v>1842</v>
      </c>
      <c r="G420" s="661" t="s">
        <v>2447</v>
      </c>
      <c r="J420" s="653" t="str">
        <f>IFERROR(VLOOKUP(ROWS($J$2:J420),$A$2:$B$996,2,FALSE),"")</f>
        <v/>
      </c>
    </row>
    <row r="421" spans="1:10" x14ac:dyDescent="0.2">
      <c r="A421">
        <f>IF(ISNUMBER(SEARCH(Cover!$H$13,Table1[[#This Row],[School District]])),MAX($A$1:A420)+1,0)</f>
        <v>0</v>
      </c>
      <c r="B421" s="661" t="s">
        <v>1525</v>
      </c>
      <c r="C421" s="1599">
        <v>6016201017</v>
      </c>
      <c r="D421" s="664">
        <v>17</v>
      </c>
      <c r="E421" t="str">
        <f>IF(OR(Table1[[#This Row],[Type]]=0,Table1[[#This Row],[Type]]&gt;=40),"JA","SD")</f>
        <v>SD</v>
      </c>
      <c r="F421" t="s">
        <v>1766</v>
      </c>
      <c r="G421" s="661" t="s">
        <v>2448</v>
      </c>
      <c r="J421" s="653" t="str">
        <f>IFERROR(VLOOKUP(ROWS($J$2:J421),$A$2:$B$996,2,FALSE),"")</f>
        <v/>
      </c>
    </row>
    <row r="422" spans="1:10" x14ac:dyDescent="0.2">
      <c r="A422">
        <f>IF(ISNUMBER(SEARCH(Cover!$H$13,Table1[[#This Row],[School District]])),MAX($A$1:A421)+1,0)</f>
        <v>0</v>
      </c>
      <c r="B422" t="s">
        <v>1923</v>
      </c>
      <c r="C422" s="1599">
        <v>30000000046</v>
      </c>
      <c r="D422" s="664">
        <v>46</v>
      </c>
      <c r="E422" t="str">
        <f>IF(OR(Table1[[#This Row],[Type]]=0,Table1[[#This Row],[Type]]&gt;=40),"JA","SD")</f>
        <v>JA</v>
      </c>
      <c r="F422" t="s">
        <v>1924</v>
      </c>
      <c r="G422" s="661" t="s">
        <v>2449</v>
      </c>
      <c r="J422" s="653" t="str">
        <f>IFERROR(VLOOKUP(ROWS($J$2:J422),$A$2:$B$996,2,FALSE),"")</f>
        <v/>
      </c>
    </row>
    <row r="423" spans="1:10" x14ac:dyDescent="0.2">
      <c r="A423">
        <f>IF(ISNUMBER(SEARCH(Cover!$H$13,Table1[[#This Row],[School District]])),MAX($A$1:A422)+1,0)</f>
        <v>0</v>
      </c>
      <c r="B423" s="661" t="s">
        <v>1622</v>
      </c>
      <c r="C423" s="1599">
        <v>1069117022</v>
      </c>
      <c r="D423" s="664">
        <v>22</v>
      </c>
      <c r="E423" t="str">
        <f>IF(OR(Table1[[#This Row],[Type]]=0,Table1[[#This Row],[Type]]&gt;=40),"JA","SD")</f>
        <v>SD</v>
      </c>
      <c r="F423" t="s">
        <v>3186</v>
      </c>
      <c r="G423" s="661" t="s">
        <v>2450</v>
      </c>
      <c r="J423" s="653" t="str">
        <f>IFERROR(VLOOKUP(ROWS($J$2:J423),$A$2:$B$996,2,FALSE),"")</f>
        <v/>
      </c>
    </row>
    <row r="424" spans="1:10" ht="15" customHeight="1" x14ac:dyDescent="0.2">
      <c r="A424">
        <f>IF(ISNUMBER(SEARCH(Cover!$H$13,Table1[[#This Row],[School District]])),MAX($A$1:A423)+1,0)</f>
        <v>0</v>
      </c>
      <c r="B424" t="s">
        <v>1691</v>
      </c>
      <c r="C424" s="1599">
        <v>30077801060</v>
      </c>
      <c r="D424" s="664">
        <v>60</v>
      </c>
      <c r="E424" t="str">
        <f>IF(OR(Table1[[#This Row],[Type]]=0,Table1[[#This Row],[Type]]&gt;=40),"JA","SD")</f>
        <v>JA</v>
      </c>
      <c r="F424" t="s">
        <v>1848</v>
      </c>
      <c r="G424" s="661" t="s">
        <v>2451</v>
      </c>
      <c r="J424" s="653" t="str">
        <f>IFERROR(VLOOKUP(ROWS($J$2:J424),$A$2:$B$996,2,FALSE),"")</f>
        <v/>
      </c>
    </row>
    <row r="425" spans="1:10" x14ac:dyDescent="0.2">
      <c r="A425">
        <f>IF(ISNUMBER(SEARCH(Cover!$H$13,Table1[[#This Row],[School District]])),MAX($A$1:A424)+1,0)</f>
        <v>0</v>
      </c>
      <c r="B425" s="661" t="s">
        <v>1305</v>
      </c>
      <c r="C425" s="1599">
        <v>20096017004</v>
      </c>
      <c r="D425" s="664">
        <v>4</v>
      </c>
      <c r="E425" t="str">
        <f>IF(OR(Table1[[#This Row],[Type]]=0,Table1[[#This Row],[Type]]&gt;=40),"JA","SD")</f>
        <v>SD</v>
      </c>
      <c r="F425" t="s">
        <v>1894</v>
      </c>
      <c r="G425" s="661" t="s">
        <v>2452</v>
      </c>
      <c r="J425" s="653" t="str">
        <f>IFERROR(VLOOKUP(ROWS($J$2:J425),$A$2:$B$996,2,FALSE),"")</f>
        <v/>
      </c>
    </row>
    <row r="426" spans="1:10" x14ac:dyDescent="0.2">
      <c r="A426">
        <f>IF(ISNUMBER(SEARCH(Cover!$H$13,Table1[[#This Row],[School District]])),MAX($A$1:A425)+1,0)</f>
        <v>0</v>
      </c>
      <c r="B426" s="661" t="s">
        <v>1925</v>
      </c>
      <c r="C426" s="1599">
        <v>12040001026</v>
      </c>
      <c r="D426" s="664">
        <v>26</v>
      </c>
      <c r="E426" t="str">
        <f>IF(OR(Table1[[#This Row],[Type]]=0,Table1[[#This Row],[Type]]&gt;=40),"JA","SD")</f>
        <v>SD</v>
      </c>
      <c r="F426" t="s">
        <v>1926</v>
      </c>
      <c r="G426" s="661" t="s">
        <v>2453</v>
      </c>
      <c r="J426" s="653" t="str">
        <f>IFERROR(VLOOKUP(ROWS($J$2:J426),$A$2:$B$996,2,FALSE),"")</f>
        <v/>
      </c>
    </row>
    <row r="427" spans="1:10" x14ac:dyDescent="0.2">
      <c r="A427">
        <f>IF(ISNUMBER(SEARCH(Cover!$H$13,Table1[[#This Row],[School District]])),MAX($A$1:A426)+1,0)</f>
        <v>0</v>
      </c>
      <c r="B427" s="661" t="s">
        <v>1112</v>
      </c>
      <c r="C427" s="1599">
        <v>40042100026</v>
      </c>
      <c r="D427" s="664">
        <v>26</v>
      </c>
      <c r="E427" t="str">
        <f>IF(OR(Table1[[#This Row],[Type]]=0,Table1[[#This Row],[Type]]&gt;=40),"JA","SD")</f>
        <v>SD</v>
      </c>
      <c r="F427" t="s">
        <v>1927</v>
      </c>
      <c r="G427" s="661" t="s">
        <v>2454</v>
      </c>
      <c r="J427" s="653" t="str">
        <f>IFERROR(VLOOKUP(ROWS($J$2:J427),$A$2:$B$996,2,FALSE),"")</f>
        <v/>
      </c>
    </row>
    <row r="428" spans="1:10" x14ac:dyDescent="0.2">
      <c r="A428">
        <f>IF(ISNUMBER(SEARCH(Cover!$H$13,Table1[[#This Row],[School District]])),MAX($A$1:A427)+1,0)</f>
        <v>0</v>
      </c>
      <c r="B428" t="s">
        <v>1656</v>
      </c>
      <c r="C428" s="1599">
        <v>8043790040</v>
      </c>
      <c r="D428" s="664">
        <v>40</v>
      </c>
      <c r="E428" t="str">
        <f>IF(OR(Table1[[#This Row],[Type]]=0,Table1[[#This Row],[Type]]&gt;=40),"JA","SD")</f>
        <v>JA</v>
      </c>
      <c r="F428" t="s">
        <v>1885</v>
      </c>
      <c r="G428" s="661" t="s">
        <v>2455</v>
      </c>
      <c r="J428" s="653" t="str">
        <f>IFERROR(VLOOKUP(ROWS($J$2:J428),$A$2:$B$996,2,FALSE),"")</f>
        <v/>
      </c>
    </row>
    <row r="429" spans="1:10" x14ac:dyDescent="0.2">
      <c r="A429">
        <f>IF(ISNUMBER(SEARCH(Cover!$H$13,Table1[[#This Row],[School District]])),MAX($A$1:A428)+1,0)</f>
        <v>0</v>
      </c>
      <c r="B429" s="661" t="s">
        <v>1091</v>
      </c>
      <c r="C429" s="1599">
        <v>44063012026</v>
      </c>
      <c r="D429" s="664">
        <v>26</v>
      </c>
      <c r="E429" t="str">
        <f>IF(OR(Table1[[#This Row],[Type]]=0,Table1[[#This Row],[Type]]&gt;=40),"JA","SD")</f>
        <v>SD</v>
      </c>
      <c r="F429" t="s">
        <v>1769</v>
      </c>
      <c r="G429" s="661" t="s">
        <v>2456</v>
      </c>
      <c r="J429" s="653" t="str">
        <f>IFERROR(VLOOKUP(ROWS($J$2:J429),$A$2:$B$996,2,FALSE),"")</f>
        <v/>
      </c>
    </row>
    <row r="430" spans="1:10" x14ac:dyDescent="0.2">
      <c r="A430">
        <f>IF(ISNUMBER(SEARCH(Cover!$H$13,Table1[[#This Row],[School District]])),MAX($A$1:A429)+1,0)</f>
        <v>0</v>
      </c>
      <c r="B430" s="661" t="s">
        <v>1285</v>
      </c>
      <c r="C430" s="1599">
        <v>21100001026</v>
      </c>
      <c r="D430" s="664">
        <v>26</v>
      </c>
      <c r="E430" t="str">
        <f>IF(OR(Table1[[#This Row],[Type]]=0,Table1[[#This Row],[Type]]&gt;=40),"JA","SD")</f>
        <v>SD</v>
      </c>
      <c r="F430" t="s">
        <v>1833</v>
      </c>
      <c r="G430" s="661" t="s">
        <v>2457</v>
      </c>
      <c r="J430" s="653" t="str">
        <f>IFERROR(VLOOKUP(ROWS($J$2:J430),$A$2:$B$996,2,FALSE),"")</f>
        <v/>
      </c>
    </row>
    <row r="431" spans="1:10" ht="15" customHeight="1" x14ac:dyDescent="0.2">
      <c r="A431">
        <f>IF(ISNUMBER(SEARCH(Cover!$H$13,Table1[[#This Row],[School District]])),MAX($A$1:A430)+1,0)</f>
        <v>0</v>
      </c>
      <c r="B431" s="661" t="s">
        <v>954</v>
      </c>
      <c r="C431" s="1599">
        <v>56099086005</v>
      </c>
      <c r="D431" s="664">
        <v>5</v>
      </c>
      <c r="E431" t="str">
        <f>IF(OR(Table1[[#This Row],[Type]]=0,Table1[[#This Row],[Type]]&gt;=40),"JA","SD")</f>
        <v>SD</v>
      </c>
      <c r="F431" t="s">
        <v>1793</v>
      </c>
      <c r="G431" s="661" t="s">
        <v>2458</v>
      </c>
      <c r="J431" s="653" t="str">
        <f>IFERROR(VLOOKUP(ROWS($J$2:J431),$A$2:$B$996,2,FALSE),"")</f>
        <v/>
      </c>
    </row>
    <row r="432" spans="1:10" ht="15" customHeight="1" x14ac:dyDescent="0.2">
      <c r="A432">
        <f>IF(ISNUMBER(SEARCH(Cover!$H$13,Table1[[#This Row],[School District]])),MAX($A$1:A431)+1,0)</f>
        <v>0</v>
      </c>
      <c r="B432" s="661" t="s">
        <v>943</v>
      </c>
      <c r="C432" s="1599">
        <v>56099204017</v>
      </c>
      <c r="D432" s="664">
        <v>17</v>
      </c>
      <c r="E432" t="str">
        <f>IF(OR(Table1[[#This Row],[Type]]=0,Table1[[#This Row],[Type]]&gt;=40),"JA","SD")</f>
        <v>SD</v>
      </c>
      <c r="F432" t="s">
        <v>1793</v>
      </c>
      <c r="G432" s="661" t="s">
        <v>2459</v>
      </c>
      <c r="J432" s="653" t="str">
        <f>IFERROR(VLOOKUP(ROWS($J$2:J432),$A$2:$B$996,2,FALSE),"")</f>
        <v/>
      </c>
    </row>
    <row r="433" spans="1:10" ht="15" customHeight="1" x14ac:dyDescent="0.2">
      <c r="A433">
        <f>IF(ISNUMBER(SEARCH(Cover!$H$13,Table1[[#This Row],[School District]])),MAX($A$1:A432)+1,0)</f>
        <v>0</v>
      </c>
      <c r="B433" s="661" t="s">
        <v>1286</v>
      </c>
      <c r="C433" s="1599">
        <v>21061038026</v>
      </c>
      <c r="D433" s="664">
        <v>26</v>
      </c>
      <c r="E433" t="str">
        <f>IF(OR(Table1[[#This Row],[Type]]=0,Table1[[#This Row],[Type]]&gt;=40),"JA","SD")</f>
        <v>SD</v>
      </c>
      <c r="F433" t="s">
        <v>1928</v>
      </c>
      <c r="G433" s="661" t="s">
        <v>2460</v>
      </c>
      <c r="J433" s="653" t="str">
        <f>IFERROR(VLOOKUP(ROWS($J$2:J433),$A$2:$B$996,2,FALSE),"")</f>
        <v/>
      </c>
    </row>
    <row r="434" spans="1:10" x14ac:dyDescent="0.2">
      <c r="A434">
        <f>IF(ISNUMBER(SEARCH(Cover!$H$13,Table1[[#This Row],[School District]])),MAX($A$1:A433)+1,0)</f>
        <v>0</v>
      </c>
      <c r="B434" s="661" t="s">
        <v>1214</v>
      </c>
      <c r="C434" s="1599">
        <v>31045302026</v>
      </c>
      <c r="D434" s="664">
        <v>26</v>
      </c>
      <c r="E434" t="str">
        <f>IF(OR(Table1[[#This Row],[Type]]=0,Table1[[#This Row],[Type]]&gt;=40),"JA","SD")</f>
        <v>SD</v>
      </c>
      <c r="F434" t="s">
        <v>1789</v>
      </c>
      <c r="G434" s="661" t="s">
        <v>2461</v>
      </c>
      <c r="J434" s="653" t="str">
        <f>IFERROR(VLOOKUP(ROWS($J$2:J434),$A$2:$B$996,2,FALSE),"")</f>
        <v/>
      </c>
    </row>
    <row r="435" spans="1:10" x14ac:dyDescent="0.2">
      <c r="A435">
        <f>IF(ISNUMBER(SEARCH(Cover!$H$13,Table1[[#This Row],[School District]])),MAX($A$1:A434)+1,0)</f>
        <v>0</v>
      </c>
      <c r="B435" t="s">
        <v>1694</v>
      </c>
      <c r="C435" s="1599">
        <v>32000000040</v>
      </c>
      <c r="D435" s="664">
        <v>40</v>
      </c>
      <c r="E435" t="str">
        <f>IF(OR(Table1[[#This Row],[Type]]=0,Table1[[#This Row],[Type]]&gt;=40),"JA","SD")</f>
        <v>JA</v>
      </c>
      <c r="F435" t="s">
        <v>1808</v>
      </c>
      <c r="G435" s="661" t="s">
        <v>2462</v>
      </c>
      <c r="J435" s="653" t="str">
        <f>IFERROR(VLOOKUP(ROWS($J$2:J435),$A$2:$B$996,2,FALSE),"")</f>
        <v/>
      </c>
    </row>
    <row r="436" spans="1:10" ht="15" customHeight="1" x14ac:dyDescent="0.2">
      <c r="A436">
        <f>IF(ISNUMBER(SEARCH(Cover!$H$13,Table1[[#This Row],[School District]])),MAX($A$1:A435)+1,0)</f>
        <v>0</v>
      </c>
      <c r="B436" t="s">
        <v>1695</v>
      </c>
      <c r="C436" s="1599">
        <v>32000000046</v>
      </c>
      <c r="D436" s="664">
        <v>46</v>
      </c>
      <c r="E436" t="str">
        <f>IF(OR(Table1[[#This Row],[Type]]=0,Table1[[#This Row],[Type]]&gt;=40),"JA","SD")</f>
        <v>JA</v>
      </c>
      <c r="F436" t="s">
        <v>1808</v>
      </c>
      <c r="G436" s="661" t="s">
        <v>2463</v>
      </c>
      <c r="J436" s="653" t="str">
        <f>IFERROR(VLOOKUP(ROWS($J$2:J436),$A$2:$B$996,2,FALSE),"")</f>
        <v/>
      </c>
    </row>
    <row r="437" spans="1:10" x14ac:dyDescent="0.2">
      <c r="A437">
        <f>IF(ISNUMBER(SEARCH(Cover!$H$13,Table1[[#This Row],[School District]])),MAX($A$1:A436)+1,0)</f>
        <v>0</v>
      </c>
      <c r="B437" t="s">
        <v>1929</v>
      </c>
      <c r="C437" s="1599">
        <v>32046850060</v>
      </c>
      <c r="D437" s="664">
        <v>60</v>
      </c>
      <c r="E437" t="str">
        <f>IF(OR(Table1[[#This Row],[Type]]=0,Table1[[#This Row],[Type]]&gt;=40),"JA","SD")</f>
        <v>JA</v>
      </c>
      <c r="F437" t="s">
        <v>1808</v>
      </c>
      <c r="G437" s="661" t="s">
        <v>2464</v>
      </c>
      <c r="J437" s="653" t="str">
        <f>IFERROR(VLOOKUP(ROWS($J$2:J437),$A$2:$B$996,2,FALSE),"")</f>
        <v/>
      </c>
    </row>
    <row r="438" spans="1:10" x14ac:dyDescent="0.2">
      <c r="A438">
        <f>IF(ISNUMBER(SEARCH(Cover!$H$13,Table1[[#This Row],[School District]])),MAX($A$1:A437)+1,0)</f>
        <v>0</v>
      </c>
      <c r="B438" s="661" t="s">
        <v>1200</v>
      </c>
      <c r="C438" s="1599">
        <v>32046111025</v>
      </c>
      <c r="D438" s="664">
        <v>25</v>
      </c>
      <c r="E438" t="str">
        <f>IF(OR(Table1[[#This Row],[Type]]=0,Table1[[#This Row],[Type]]&gt;=40),"JA","SD")</f>
        <v>SD</v>
      </c>
      <c r="F438" t="s">
        <v>1808</v>
      </c>
      <c r="G438" s="661" t="s">
        <v>2465</v>
      </c>
      <c r="J438" s="653" t="str">
        <f>IFERROR(VLOOKUP(ROWS($J$2:J438),$A$2:$B$996,2,FALSE),"")</f>
        <v/>
      </c>
    </row>
    <row r="439" spans="1:10" x14ac:dyDescent="0.2">
      <c r="A439">
        <f>IF(ISNUMBER(SEARCH(Cover!$H$13,Table1[[#This Row],[School District]])),MAX($A$1:A438)+1,0)</f>
        <v>0</v>
      </c>
      <c r="B439" s="661" t="s">
        <v>1429</v>
      </c>
      <c r="C439" s="1599">
        <v>11023003026</v>
      </c>
      <c r="D439" s="664">
        <v>26</v>
      </c>
      <c r="E439" t="str">
        <f>IF(OR(Table1[[#This Row],[Type]]=0,Table1[[#This Row],[Type]]&gt;=40),"JA","SD")</f>
        <v>SD</v>
      </c>
      <c r="F439" t="s">
        <v>1888</v>
      </c>
      <c r="G439" s="661" t="s">
        <v>2466</v>
      </c>
      <c r="J439" s="653" t="str">
        <f>IFERROR(VLOOKUP(ROWS($J$2:J439),$A$2:$B$996,2,FALSE),"")</f>
        <v/>
      </c>
    </row>
    <row r="440" spans="1:10" x14ac:dyDescent="0.2">
      <c r="A440">
        <f>IF(ISNUMBER(SEARCH(Cover!$H$13,Table1[[#This Row],[School District]])),MAX($A$1:A439)+1,0)</f>
        <v>0</v>
      </c>
      <c r="B440" t="s">
        <v>1666</v>
      </c>
      <c r="C440" s="1599">
        <v>13058801060</v>
      </c>
      <c r="D440" s="664">
        <v>60</v>
      </c>
      <c r="E440" t="str">
        <f>IF(OR(Table1[[#This Row],[Type]]=0,Table1[[#This Row],[Type]]&gt;=40),"JA","SD")</f>
        <v>JA</v>
      </c>
      <c r="F440" t="s">
        <v>1842</v>
      </c>
      <c r="G440" s="661" t="s">
        <v>2467</v>
      </c>
      <c r="J440" s="653" t="str">
        <f>IFERROR(VLOOKUP(ROWS($J$2:J440),$A$2:$B$996,2,FALSE),"")</f>
        <v/>
      </c>
    </row>
    <row r="441" spans="1:10" x14ac:dyDescent="0.2">
      <c r="A441">
        <f>IF(ISNUMBER(SEARCH(Cover!$H$13,Table1[[#This Row],[School District]])),MAX($A$1:A440)+1,0)</f>
        <v>0</v>
      </c>
      <c r="B441" s="661" t="s">
        <v>1339</v>
      </c>
      <c r="C441" s="1599">
        <v>19022020002</v>
      </c>
      <c r="D441" s="664">
        <v>2</v>
      </c>
      <c r="E441" t="str">
        <f>IF(OR(Table1[[#This Row],[Type]]=0,Table1[[#This Row],[Type]]&gt;=40),"JA","SD")</f>
        <v>SD</v>
      </c>
      <c r="F441" t="s">
        <v>3143</v>
      </c>
      <c r="G441" s="661" t="s">
        <v>2468</v>
      </c>
      <c r="J441" s="653" t="str">
        <f>IFERROR(VLOOKUP(ROWS($J$2:J441),$A$2:$B$996,2,FALSE),"")</f>
        <v/>
      </c>
    </row>
    <row r="442" spans="1:10" x14ac:dyDescent="0.2">
      <c r="A442">
        <f>IF(ISNUMBER(SEARCH(Cover!$H$13,Table1[[#This Row],[School District]])),MAX($A$1:A441)+1,0)</f>
        <v>0</v>
      </c>
      <c r="B442" s="661" t="s">
        <v>1930</v>
      </c>
      <c r="C442" s="1599">
        <v>13058002003</v>
      </c>
      <c r="D442" s="664">
        <v>3</v>
      </c>
      <c r="E442" t="str">
        <f>IF(OR(Table1[[#This Row],[Type]]=0,Table1[[#This Row],[Type]]&gt;=40),"JA","SD")</f>
        <v>SD</v>
      </c>
      <c r="F442" t="s">
        <v>1842</v>
      </c>
      <c r="G442" s="661" t="s">
        <v>2469</v>
      </c>
      <c r="J442" s="653" t="str">
        <f>IFERROR(VLOOKUP(ROWS($J$2:J442),$A$2:$B$996,2,FALSE),"")</f>
        <v/>
      </c>
    </row>
    <row r="443" spans="1:10" x14ac:dyDescent="0.2">
      <c r="A443">
        <f>IF(ISNUMBER(SEARCH(Cover!$H$13,Table1[[#This Row],[School District]])),MAX($A$1:A442)+1,0)</f>
        <v>0</v>
      </c>
      <c r="B443" s="661" t="s">
        <v>1573</v>
      </c>
      <c r="C443" s="1599">
        <v>5016038002</v>
      </c>
      <c r="D443" s="664">
        <v>2</v>
      </c>
      <c r="E443" t="str">
        <f>IF(OR(Table1[[#This Row],[Type]]=0,Table1[[#This Row],[Type]]&gt;=40),"JA","SD")</f>
        <v>SD</v>
      </c>
      <c r="F443" t="s">
        <v>1766</v>
      </c>
      <c r="G443" s="661" t="s">
        <v>2470</v>
      </c>
      <c r="J443" s="653" t="str">
        <f>IFERROR(VLOOKUP(ROWS($J$2:J443),$A$2:$B$996,2,FALSE),"")</f>
        <v/>
      </c>
    </row>
    <row r="444" spans="1:10" x14ac:dyDescent="0.2">
      <c r="A444">
        <f>IF(ISNUMBER(SEARCH(Cover!$H$13,Table1[[#This Row],[School District]])),MAX($A$1:A443)+1,0)</f>
        <v>0</v>
      </c>
      <c r="B444" s="661" t="s">
        <v>1239</v>
      </c>
      <c r="C444" s="1599">
        <v>28037229026</v>
      </c>
      <c r="D444" s="664">
        <v>26</v>
      </c>
      <c r="E444" t="str">
        <f>IF(OR(Table1[[#This Row],[Type]]=0,Table1[[#This Row],[Type]]&gt;=40),"JA","SD")</f>
        <v>SD</v>
      </c>
      <c r="F444" t="s">
        <v>1776</v>
      </c>
      <c r="G444" s="661" t="s">
        <v>2471</v>
      </c>
      <c r="J444" s="653" t="str">
        <f>IFERROR(VLOOKUP(ROWS($J$2:J444),$A$2:$B$996,2,FALSE),"")</f>
        <v/>
      </c>
    </row>
    <row r="445" spans="1:10" ht="15" customHeight="1" x14ac:dyDescent="0.2">
      <c r="A445">
        <f>IF(ISNUMBER(SEARCH(Cover!$H$13,Table1[[#This Row],[School District]])),MAX($A$1:A444)+1,0)</f>
        <v>0</v>
      </c>
      <c r="B445" s="661" t="s">
        <v>1166</v>
      </c>
      <c r="C445" s="1599">
        <v>34049096004</v>
      </c>
      <c r="D445" s="664">
        <v>4</v>
      </c>
      <c r="E445" t="str">
        <f>IF(OR(Table1[[#This Row],[Type]]=0,Table1[[#This Row],[Type]]&gt;=40),"JA","SD")</f>
        <v>SD</v>
      </c>
      <c r="F445" t="s">
        <v>1765</v>
      </c>
      <c r="G445" s="661" t="s">
        <v>2472</v>
      </c>
      <c r="J445" s="653" t="str">
        <f>IFERROR(VLOOKUP(ROWS($J$2:J445),$A$2:$B$996,2,FALSE),"")</f>
        <v/>
      </c>
    </row>
    <row r="446" spans="1:10" ht="15" customHeight="1" x14ac:dyDescent="0.2">
      <c r="A446">
        <f>IF(ISNUMBER(SEARCH(Cover!$H$13,Table1[[#This Row],[School District]])),MAX($A$1:A445)+1,0)</f>
        <v>0</v>
      </c>
      <c r="B446" s="661" t="s">
        <v>1931</v>
      </c>
      <c r="C446" s="1599">
        <v>47071144003</v>
      </c>
      <c r="D446" s="664">
        <v>3</v>
      </c>
      <c r="E446" t="str">
        <f>IF(OR(Table1[[#This Row],[Type]]=0,Table1[[#This Row],[Type]]&gt;=40),"JA","SD")</f>
        <v>SD</v>
      </c>
      <c r="F446" t="s">
        <v>1821</v>
      </c>
      <c r="G446" s="661" t="s">
        <v>2473</v>
      </c>
      <c r="J446" s="653" t="str">
        <f>IFERROR(VLOOKUP(ROWS($J$2:J446),$A$2:$B$996,2,FALSE),"")</f>
        <v/>
      </c>
    </row>
    <row r="447" spans="1:10" x14ac:dyDescent="0.2">
      <c r="A447">
        <f>IF(ISNUMBER(SEARCH(Cover!$H$13,Table1[[#This Row],[School District]])),MAX($A$1:A446)+1,0)</f>
        <v>0</v>
      </c>
      <c r="B447" s="661" t="s">
        <v>1596</v>
      </c>
      <c r="C447" s="1599">
        <v>4101131004</v>
      </c>
      <c r="D447" s="664">
        <v>4</v>
      </c>
      <c r="E447" t="str">
        <f>IF(OR(Table1[[#This Row],[Type]]=0,Table1[[#This Row],[Type]]&gt;=40),"JA","SD")</f>
        <v>SD</v>
      </c>
      <c r="F447" t="s">
        <v>3187</v>
      </c>
      <c r="G447" s="661" t="s">
        <v>2474</v>
      </c>
      <c r="J447" s="653" t="str">
        <f>IFERROR(VLOOKUP(ROWS($J$2:J447),$A$2:$B$996,2,FALSE),"")</f>
        <v/>
      </c>
    </row>
    <row r="448" spans="1:10" x14ac:dyDescent="0.2">
      <c r="A448">
        <f>IF(ISNUMBER(SEARCH(Cover!$H$13,Table1[[#This Row],[School District]])),MAX($A$1:A447)+1,0)</f>
        <v>0</v>
      </c>
      <c r="B448" s="661" t="s">
        <v>1504</v>
      </c>
      <c r="C448" s="1599">
        <v>7016140002</v>
      </c>
      <c r="D448" s="664">
        <v>2</v>
      </c>
      <c r="E448" t="str">
        <f>IF(OR(Table1[[#This Row],[Type]]=0,Table1[[#This Row],[Type]]&gt;=40),"JA","SD")</f>
        <v>SD</v>
      </c>
      <c r="F448" t="s">
        <v>1766</v>
      </c>
      <c r="G448" s="661" t="s">
        <v>2475</v>
      </c>
      <c r="J448" s="653" t="str">
        <f>IFERROR(VLOOKUP(ROWS($J$2:J448),$A$2:$B$996,2,FALSE),"")</f>
        <v/>
      </c>
    </row>
    <row r="449" spans="1:10" x14ac:dyDescent="0.2">
      <c r="A449">
        <f>IF(ISNUMBER(SEARCH(Cover!$H$13,Table1[[#This Row],[School District]])),MAX($A$1:A448)+1,0)</f>
        <v>0</v>
      </c>
      <c r="B449" t="s">
        <v>1668</v>
      </c>
      <c r="C449" s="1599">
        <v>16000000046</v>
      </c>
      <c r="D449" s="664">
        <v>46</v>
      </c>
      <c r="E449" t="str">
        <f>IF(OR(Table1[[#This Row],[Type]]=0,Table1[[#This Row],[Type]]&gt;=40),"JA","SD")</f>
        <v>JA</v>
      </c>
      <c r="F449" t="s">
        <v>1932</v>
      </c>
      <c r="G449" s="661" t="s">
        <v>2476</v>
      </c>
      <c r="J449" s="653" t="str">
        <f>IFERROR(VLOOKUP(ROWS($J$2:J449),$A$2:$B$996,2,FALSE),"")</f>
        <v/>
      </c>
    </row>
    <row r="450" spans="1:10" x14ac:dyDescent="0.2">
      <c r="A450">
        <f>IF(ISNUMBER(SEARCH(Cover!$H$13,Table1[[#This Row],[School District]])),MAX($A$1:A449)+1,0)</f>
        <v>0</v>
      </c>
      <c r="B450" t="s">
        <v>1933</v>
      </c>
      <c r="C450" s="1599">
        <v>33048801060</v>
      </c>
      <c r="D450" s="664">
        <v>60</v>
      </c>
      <c r="E450" t="str">
        <f>IF(OR(Table1[[#This Row],[Type]]=0,Table1[[#This Row],[Type]]&gt;=40),"JA","SD")</f>
        <v>JA</v>
      </c>
      <c r="F450" t="s">
        <v>3174</v>
      </c>
      <c r="G450" s="661" t="s">
        <v>2477</v>
      </c>
      <c r="J450" s="653" t="str">
        <f>IFERROR(VLOOKUP(ROWS($J$2:J450),$A$2:$B$996,2,FALSE),"")</f>
        <v/>
      </c>
    </row>
    <row r="451" spans="1:10" x14ac:dyDescent="0.2">
      <c r="A451">
        <f>IF(ISNUMBER(SEARCH(Cover!$H$13,Table1[[#This Row],[School District]])),MAX($A$1:A450)+1,0)</f>
        <v>0</v>
      </c>
      <c r="B451" s="661" t="s">
        <v>1194</v>
      </c>
      <c r="C451" s="1599">
        <v>33048202026</v>
      </c>
      <c r="D451" s="664">
        <v>26</v>
      </c>
      <c r="E451" t="str">
        <f>IF(OR(Table1[[#This Row],[Type]]=0,Table1[[#This Row],[Type]]&gt;=40),"JA","SD")</f>
        <v>SD</v>
      </c>
      <c r="F451" t="s">
        <v>1761</v>
      </c>
      <c r="G451" s="661" t="s">
        <v>2478</v>
      </c>
      <c r="J451" s="653" t="str">
        <f>IFERROR(VLOOKUP(ROWS($J$2:J451),$A$2:$B$996,2,FALSE),"")</f>
        <v/>
      </c>
    </row>
    <row r="452" spans="1:10" x14ac:dyDescent="0.2">
      <c r="A452">
        <f>IF(ISNUMBER(SEARCH(Cover!$H$13,Table1[[#This Row],[School District]])),MAX($A$1:A451)+1,0)</f>
        <v>0</v>
      </c>
      <c r="B452" s="661" t="s">
        <v>1538</v>
      </c>
      <c r="C452" s="1599">
        <v>6016094002</v>
      </c>
      <c r="D452" s="664">
        <v>2</v>
      </c>
      <c r="E452" t="str">
        <f>IF(OR(Table1[[#This Row],[Type]]=0,Table1[[#This Row],[Type]]&gt;=40),"JA","SD")</f>
        <v>SD</v>
      </c>
      <c r="F452" t="s">
        <v>1766</v>
      </c>
      <c r="G452" s="661" t="s">
        <v>2479</v>
      </c>
      <c r="J452" s="653" t="str">
        <f>IFERROR(VLOOKUP(ROWS($J$2:J452),$A$2:$B$996,2,FALSE),"")</f>
        <v/>
      </c>
    </row>
    <row r="453" spans="1:10" x14ac:dyDescent="0.2">
      <c r="A453">
        <f>IF(ISNUMBER(SEARCH(Cover!$H$13,Table1[[#This Row],[School District]])),MAX($A$1:A452)+1,0)</f>
        <v>0</v>
      </c>
      <c r="B453" s="661" t="s">
        <v>1530</v>
      </c>
      <c r="C453" s="1599">
        <v>6016102002</v>
      </c>
      <c r="D453" s="664">
        <v>2</v>
      </c>
      <c r="E453" t="str">
        <f>IF(OR(Table1[[#This Row],[Type]]=0,Table1[[#This Row],[Type]]&gt;=40),"JA","SD")</f>
        <v>SD</v>
      </c>
      <c r="F453" t="s">
        <v>1766</v>
      </c>
      <c r="G453" s="661" t="s">
        <v>2480</v>
      </c>
      <c r="J453" s="653" t="str">
        <f>IFERROR(VLOOKUP(ROWS($J$2:J453),$A$2:$B$996,2,FALSE),"")</f>
        <v/>
      </c>
    </row>
    <row r="454" spans="1:10" ht="15" customHeight="1" x14ac:dyDescent="0.2">
      <c r="A454">
        <f>IF(ISNUMBER(SEARCH(Cover!$H$13,Table1[[#This Row],[School District]])),MAX($A$1:A453)+1,0)</f>
        <v>0</v>
      </c>
      <c r="B454" s="661" t="s">
        <v>1934</v>
      </c>
      <c r="C454" s="1599">
        <v>6016105002</v>
      </c>
      <c r="D454" s="664">
        <v>2</v>
      </c>
      <c r="E454" t="str">
        <f>IF(OR(Table1[[#This Row],[Type]]=0,Table1[[#This Row],[Type]]&gt;=40),"JA","SD")</f>
        <v>SD</v>
      </c>
      <c r="F454" t="s">
        <v>1766</v>
      </c>
      <c r="G454" s="661" t="s">
        <v>2481</v>
      </c>
      <c r="J454" s="653" t="str">
        <f>IFERROR(VLOOKUP(ROWS($J$2:J454),$A$2:$B$996,2,FALSE),"")</f>
        <v/>
      </c>
    </row>
    <row r="455" spans="1:10" x14ac:dyDescent="0.2">
      <c r="A455">
        <f>IF(ISNUMBER(SEARCH(Cover!$H$13,Table1[[#This Row],[School District]])),MAX($A$1:A454)+1,0)</f>
        <v>0</v>
      </c>
      <c r="B455" s="661" t="s">
        <v>1259</v>
      </c>
      <c r="C455" s="1599">
        <v>26034347004</v>
      </c>
      <c r="D455" s="664">
        <v>4</v>
      </c>
      <c r="E455" t="str">
        <f>IF(OR(Table1[[#This Row],[Type]]=0,Table1[[#This Row],[Type]]&gt;=40),"JA","SD")</f>
        <v>SD</v>
      </c>
      <c r="F455" t="s">
        <v>3188</v>
      </c>
      <c r="G455" s="661" t="s">
        <v>2482</v>
      </c>
      <c r="J455" s="653" t="str">
        <f>IFERROR(VLOOKUP(ROWS($J$2:J455),$A$2:$B$996,2,FALSE),"")</f>
        <v/>
      </c>
    </row>
    <row r="456" spans="1:10" x14ac:dyDescent="0.2">
      <c r="A456">
        <f>IF(ISNUMBER(SEARCH(Cover!$H$13,Table1[[#This Row],[School District]])),MAX($A$1:A455)+1,0)</f>
        <v>0</v>
      </c>
      <c r="B456" s="661" t="s">
        <v>1249</v>
      </c>
      <c r="C456" s="1599">
        <v>28006303026</v>
      </c>
      <c r="D456" s="664">
        <v>26</v>
      </c>
      <c r="E456" t="str">
        <f>IF(OR(Table1[[#This Row],[Type]]=0,Table1[[#This Row],[Type]]&gt;=40),"JA","SD")</f>
        <v>SD</v>
      </c>
      <c r="F456" t="s">
        <v>3189</v>
      </c>
      <c r="G456" s="661" t="s">
        <v>2483</v>
      </c>
      <c r="J456" s="653" t="str">
        <f>IFERROR(VLOOKUP(ROWS($J$2:J456),$A$2:$B$996,2,FALSE),"")</f>
        <v/>
      </c>
    </row>
    <row r="457" spans="1:10" ht="15" customHeight="1" x14ac:dyDescent="0.2">
      <c r="A457">
        <f>IF(ISNUMBER(SEARCH(Cover!$H$13,Table1[[#This Row],[School District]])),MAX($A$1:A456)+1,0)</f>
        <v>0</v>
      </c>
      <c r="B457" s="661" t="s">
        <v>1137</v>
      </c>
      <c r="C457" s="1599">
        <v>35050122002</v>
      </c>
      <c r="D457" s="664">
        <v>2</v>
      </c>
      <c r="E457" t="str">
        <f>IF(OR(Table1[[#This Row],[Type]]=0,Table1[[#This Row],[Type]]&gt;=40),"JA","SD")</f>
        <v>SD</v>
      </c>
      <c r="F457" t="s">
        <v>1771</v>
      </c>
      <c r="G457" s="661" t="s">
        <v>2484</v>
      </c>
      <c r="J457" s="653" t="str">
        <f>IFERROR(VLOOKUP(ROWS($J$2:J457),$A$2:$B$996,2,FALSE),"")</f>
        <v/>
      </c>
    </row>
    <row r="458" spans="1:10" x14ac:dyDescent="0.2">
      <c r="A458">
        <f>IF(ISNUMBER(SEARCH(Cover!$H$13,Table1[[#This Row],[School District]])),MAX($A$1:A457)+1,0)</f>
        <v>0</v>
      </c>
      <c r="B458" t="s">
        <v>1705</v>
      </c>
      <c r="C458" s="1599">
        <v>35050120040</v>
      </c>
      <c r="D458" s="664">
        <v>40</v>
      </c>
      <c r="E458" t="str">
        <f>IF(OR(Table1[[#This Row],[Type]]=0,Table1[[#This Row],[Type]]&gt;=40),"JA","SD")</f>
        <v>JA</v>
      </c>
      <c r="F458" t="s">
        <v>3165</v>
      </c>
      <c r="G458" s="661" t="s">
        <v>2485</v>
      </c>
      <c r="J458" s="653" t="str">
        <f>IFERROR(VLOOKUP(ROWS($J$2:J458),$A$2:$B$996,2,FALSE),"")</f>
        <v/>
      </c>
    </row>
    <row r="459" spans="1:10" x14ac:dyDescent="0.2">
      <c r="A459">
        <f>IF(ISNUMBER(SEARCH(Cover!$H$13,Table1[[#This Row],[School District]])),MAX($A$1:A458)+1,0)</f>
        <v>0</v>
      </c>
      <c r="B459" s="661" t="s">
        <v>1138</v>
      </c>
      <c r="C459" s="1599">
        <v>35050120017</v>
      </c>
      <c r="D459" s="664">
        <v>17</v>
      </c>
      <c r="E459" t="str">
        <f>IF(OR(Table1[[#This Row],[Type]]=0,Table1[[#This Row],[Type]]&gt;=40),"JA","SD")</f>
        <v>SD</v>
      </c>
      <c r="F459" t="s">
        <v>3166</v>
      </c>
      <c r="G459" s="661" t="s">
        <v>2486</v>
      </c>
      <c r="J459" s="653" t="str">
        <f>IFERROR(VLOOKUP(ROWS($J$2:J459),$A$2:$B$996,2,FALSE),"")</f>
        <v/>
      </c>
    </row>
    <row r="460" spans="1:10" ht="15" customHeight="1" x14ac:dyDescent="0.2">
      <c r="A460">
        <f>IF(ISNUMBER(SEARCH(Cover!$H$13,Table1[[#This Row],[School District]])),MAX($A$1:A459)+1,0)</f>
        <v>0</v>
      </c>
      <c r="B460" s="661" t="s">
        <v>1254</v>
      </c>
      <c r="C460" s="1599">
        <v>28006094004</v>
      </c>
      <c r="D460" s="664">
        <v>4</v>
      </c>
      <c r="E460" t="str">
        <f>IF(OR(Table1[[#This Row],[Type]]=0,Table1[[#This Row],[Type]]&gt;=40),"JA","SD")</f>
        <v>SD</v>
      </c>
      <c r="F460" t="s">
        <v>1818</v>
      </c>
      <c r="G460" s="661" t="s">
        <v>2487</v>
      </c>
      <c r="J460" s="653" t="str">
        <f>IFERROR(VLOOKUP(ROWS($J$2:J460),$A$2:$B$996,2,FALSE),"")</f>
        <v/>
      </c>
    </row>
    <row r="461" spans="1:10" ht="15" customHeight="1" x14ac:dyDescent="0.2">
      <c r="A461">
        <f>IF(ISNUMBER(SEARCH(Cover!$H$13,Table1[[#This Row],[School District]])),MAX($A$1:A460)+1,0)</f>
        <v>0</v>
      </c>
      <c r="B461" t="s">
        <v>1644</v>
      </c>
      <c r="C461" s="1599">
        <v>6016204061</v>
      </c>
      <c r="D461" s="664">
        <v>61</v>
      </c>
      <c r="E461" t="str">
        <f>IF(OR(Table1[[#This Row],[Type]]=0,Table1[[#This Row],[Type]]&gt;=40),"JA","SD")</f>
        <v>JA</v>
      </c>
      <c r="F461" t="s">
        <v>1766</v>
      </c>
      <c r="G461" s="661" t="s">
        <v>2488</v>
      </c>
      <c r="J461" s="653" t="str">
        <f>IFERROR(VLOOKUP(ROWS($J$2:J461),$A$2:$B$996,2,FALSE),"")</f>
        <v/>
      </c>
    </row>
    <row r="462" spans="1:10" x14ac:dyDescent="0.2">
      <c r="A462">
        <f>IF(ISNUMBER(SEARCH(Cover!$H$13,Table1[[#This Row],[School District]])),MAX($A$1:A461)+1,0)</f>
        <v>0</v>
      </c>
      <c r="B462" s="661" t="s">
        <v>1528</v>
      </c>
      <c r="C462" s="1599">
        <v>6016106002</v>
      </c>
      <c r="D462" s="664">
        <v>2</v>
      </c>
      <c r="E462" t="str">
        <f>IF(OR(Table1[[#This Row],[Type]]=0,Table1[[#This Row],[Type]]&gt;=40),"JA","SD")</f>
        <v>SD</v>
      </c>
      <c r="F462" t="s">
        <v>1766</v>
      </c>
      <c r="G462" s="661" t="s">
        <v>2489</v>
      </c>
      <c r="J462" s="653" t="str">
        <f>IFERROR(VLOOKUP(ROWS($J$2:J462),$A$2:$B$996,2,FALSE),"")</f>
        <v/>
      </c>
    </row>
    <row r="463" spans="1:10" x14ac:dyDescent="0.2">
      <c r="A463">
        <f>IF(ISNUMBER(SEARCH(Cover!$H$13,Table1[[#This Row],[School District]])),MAX($A$1:A462)+1,0)</f>
        <v>0</v>
      </c>
      <c r="B463" s="661" t="s">
        <v>1176</v>
      </c>
      <c r="C463" s="1599">
        <v>34049065002</v>
      </c>
      <c r="D463" s="664">
        <v>2</v>
      </c>
      <c r="E463" t="str">
        <f>IF(OR(Table1[[#This Row],[Type]]=0,Table1[[#This Row],[Type]]&gt;=40),"JA","SD")</f>
        <v>SD</v>
      </c>
      <c r="F463" t="s">
        <v>1765</v>
      </c>
      <c r="G463" s="661" t="s">
        <v>2490</v>
      </c>
      <c r="J463" s="653" t="str">
        <f>IFERROR(VLOOKUP(ROWS($J$2:J463),$A$2:$B$996,2,FALSE),"")</f>
        <v/>
      </c>
    </row>
    <row r="464" spans="1:10" x14ac:dyDescent="0.2">
      <c r="A464">
        <f>IF(ISNUMBER(SEARCH(Cover!$H$13,Table1[[#This Row],[School District]])),MAX($A$1:A463)+1,0)</f>
        <v>0</v>
      </c>
      <c r="B464" t="s">
        <v>1701</v>
      </c>
      <c r="C464" s="1599">
        <v>34049790046</v>
      </c>
      <c r="D464" s="664">
        <v>46</v>
      </c>
      <c r="E464" t="str">
        <f>IF(OR(Table1[[#This Row],[Type]]=0,Table1[[#This Row],[Type]]&gt;=40),"JA","SD")</f>
        <v>JA</v>
      </c>
      <c r="F464" t="s">
        <v>1765</v>
      </c>
      <c r="G464" s="661" t="s">
        <v>2491</v>
      </c>
      <c r="J464" s="653" t="str">
        <f>IFERROR(VLOOKUP(ROWS($J$2:J464),$A$2:$B$996,2,FALSE),"")</f>
        <v/>
      </c>
    </row>
    <row r="465" spans="1:10" x14ac:dyDescent="0.2">
      <c r="A465">
        <f>IF(ISNUMBER(SEARCH(Cover!$H$13,Table1[[#This Row],[School District]])),MAX($A$1:A464)+1,0)</f>
        <v>0</v>
      </c>
      <c r="B465" t="s">
        <v>1700</v>
      </c>
      <c r="C465" s="1599">
        <v>34049790040</v>
      </c>
      <c r="D465" s="664">
        <v>40</v>
      </c>
      <c r="E465" t="str">
        <f>IF(OR(Table1[[#This Row],[Type]]=0,Table1[[#This Row],[Type]]&gt;=40),"JA","SD")</f>
        <v>JA</v>
      </c>
      <c r="F465" t="s">
        <v>1765</v>
      </c>
      <c r="G465" s="661" t="s">
        <v>2492</v>
      </c>
      <c r="J465" s="653" t="str">
        <f>IFERROR(VLOOKUP(ROWS($J$2:J465),$A$2:$B$996,2,FALSE),"")</f>
        <v/>
      </c>
    </row>
    <row r="466" spans="1:10" x14ac:dyDescent="0.2">
      <c r="A466">
        <f>IF(ISNUMBER(SEARCH(Cover!$H$13,Table1[[#This Row],[School District]])),MAX($A$1:A465)+1,0)</f>
        <v>0</v>
      </c>
      <c r="B466" s="661" t="s">
        <v>1159</v>
      </c>
      <c r="C466" s="1599">
        <v>34049115016</v>
      </c>
      <c r="D466" s="664">
        <v>16</v>
      </c>
      <c r="E466" t="str">
        <f>IF(OR(Table1[[#This Row],[Type]]=0,Table1[[#This Row],[Type]]&gt;=40),"JA","SD")</f>
        <v>SD</v>
      </c>
      <c r="F466" t="s">
        <v>1765</v>
      </c>
      <c r="G466" s="661" t="s">
        <v>2493</v>
      </c>
      <c r="J466" s="653" t="str">
        <f>IFERROR(VLOOKUP(ROWS($J$2:J466),$A$2:$B$996,2,FALSE),"")</f>
        <v/>
      </c>
    </row>
    <row r="467" spans="1:10" x14ac:dyDescent="0.2">
      <c r="A467">
        <f>IF(ISNUMBER(SEARCH(Cover!$H$13,Table1[[#This Row],[School District]])),MAX($A$1:A466)+1,0)</f>
        <v>0</v>
      </c>
      <c r="B467" s="661" t="s">
        <v>1175</v>
      </c>
      <c r="C467" s="1599">
        <v>34049067005</v>
      </c>
      <c r="D467" s="664">
        <v>5</v>
      </c>
      <c r="E467" t="str">
        <f>IF(OR(Table1[[#This Row],[Type]]=0,Table1[[#This Row],[Type]]&gt;=40),"JA","SD")</f>
        <v>SD</v>
      </c>
      <c r="F467" t="s">
        <v>1765</v>
      </c>
      <c r="G467" s="661" t="s">
        <v>2494</v>
      </c>
      <c r="J467" s="653" t="str">
        <f>IFERROR(VLOOKUP(ROWS($J$2:J467),$A$2:$B$996,2,FALSE),"")</f>
        <v/>
      </c>
    </row>
    <row r="468" spans="1:10" x14ac:dyDescent="0.2">
      <c r="A468">
        <f>IF(ISNUMBER(SEARCH(Cover!$H$13,Table1[[#This Row],[School District]])),MAX($A$1:A467)+1,0)</f>
        <v>0</v>
      </c>
      <c r="B468" s="661" t="s">
        <v>1935</v>
      </c>
      <c r="C468" s="1599">
        <v>19022108016</v>
      </c>
      <c r="D468" s="664">
        <v>16</v>
      </c>
      <c r="E468" t="str">
        <f>IF(OR(Table1[[#This Row],[Type]]=0,Table1[[#This Row],[Type]]&gt;=40),"JA","SD")</f>
        <v>SD</v>
      </c>
      <c r="F468" t="s">
        <v>3143</v>
      </c>
      <c r="G468" s="661" t="s">
        <v>2495</v>
      </c>
      <c r="J468" s="653" t="str">
        <f>IFERROR(VLOOKUP(ROWS($J$2:J468),$A$2:$B$996,2,FALSE),"")</f>
        <v/>
      </c>
    </row>
    <row r="469" spans="1:10" ht="15" customHeight="1" x14ac:dyDescent="0.2">
      <c r="A469">
        <f>IF(ISNUMBER(SEARCH(Cover!$H$13,Table1[[#This Row],[School District]])),MAX($A$1:A468)+1,0)</f>
        <v>0</v>
      </c>
      <c r="B469" s="661" t="s">
        <v>1936</v>
      </c>
      <c r="C469" s="1599">
        <v>34049041004</v>
      </c>
      <c r="D469" s="664">
        <v>4</v>
      </c>
      <c r="E469" t="str">
        <f>IF(OR(Table1[[#This Row],[Type]]=0,Table1[[#This Row],[Type]]&gt;=40),"JA","SD")</f>
        <v>SD</v>
      </c>
      <c r="F469" t="s">
        <v>1765</v>
      </c>
      <c r="G469" s="661" t="s">
        <v>2496</v>
      </c>
      <c r="J469" s="653" t="str">
        <f>IFERROR(VLOOKUP(ROWS($J$2:J469),$A$2:$B$996,2,FALSE),"")</f>
        <v/>
      </c>
    </row>
    <row r="470" spans="1:10" x14ac:dyDescent="0.2">
      <c r="A470">
        <f>IF(ISNUMBER(SEARCH(Cover!$H$13,Table1[[#This Row],[School District]])),MAX($A$1:A469)+1,0)</f>
        <v>0</v>
      </c>
      <c r="B470" s="661" t="s">
        <v>1167</v>
      </c>
      <c r="C470" s="1599">
        <v>34049095026</v>
      </c>
      <c r="D470" s="664">
        <v>26</v>
      </c>
      <c r="E470" t="str">
        <f>IF(OR(Table1[[#This Row],[Type]]=0,Table1[[#This Row],[Type]]&gt;=40),"JA","SD")</f>
        <v>SD</v>
      </c>
      <c r="F470" t="s">
        <v>1765</v>
      </c>
      <c r="G470" s="661" t="s">
        <v>2497</v>
      </c>
      <c r="J470" s="653" t="str">
        <f>IFERROR(VLOOKUP(ROWS($J$2:J470),$A$2:$B$996,2,FALSE),"")</f>
        <v/>
      </c>
    </row>
    <row r="471" spans="1:10" x14ac:dyDescent="0.2">
      <c r="A471">
        <f>IF(ISNUMBER(SEARCH(Cover!$H$13,Table1[[#This Row],[School District]])),MAX($A$1:A470)+1,0)</f>
        <v>0</v>
      </c>
      <c r="B471" s="661" t="s">
        <v>1485</v>
      </c>
      <c r="C471" s="1599">
        <v>7016158002</v>
      </c>
      <c r="D471" s="664">
        <v>2</v>
      </c>
      <c r="E471" t="str">
        <f>IF(OR(Table1[[#This Row],[Type]]=0,Table1[[#This Row],[Type]]&gt;=40),"JA","SD")</f>
        <v>SD</v>
      </c>
      <c r="F471" t="s">
        <v>1766</v>
      </c>
      <c r="G471" s="661" t="s">
        <v>2498</v>
      </c>
      <c r="J471" s="653" t="str">
        <f>IFERROR(VLOOKUP(ROWS($J$2:J471),$A$2:$B$996,2,FALSE),"")</f>
        <v/>
      </c>
    </row>
    <row r="472" spans="1:10" ht="15" customHeight="1" x14ac:dyDescent="0.2">
      <c r="A472">
        <f>IF(ISNUMBER(SEARCH(Cover!$H$13,Table1[[#This Row],[School District]])),MAX($A$1:A471)+1,0)</f>
        <v>0</v>
      </c>
      <c r="B472" s="661" t="s">
        <v>1937</v>
      </c>
      <c r="C472" s="1599" t="s">
        <v>915</v>
      </c>
      <c r="D472" s="664">
        <v>4</v>
      </c>
      <c r="E472" t="str">
        <f>IF(OR(Table1[[#This Row],[Type]]=0,Table1[[#This Row],[Type]]&gt;=40),"JA","SD")</f>
        <v>SD</v>
      </c>
      <c r="F472" t="s">
        <v>1793</v>
      </c>
      <c r="G472" s="661" t="s">
        <v>2499</v>
      </c>
      <c r="J472" s="653" t="str">
        <f>IFERROR(VLOOKUP(ROWS($J$2:J472),$A$2:$B$996,2,FALSE),"")</f>
        <v/>
      </c>
    </row>
    <row r="473" spans="1:10" x14ac:dyDescent="0.2">
      <c r="A473">
        <f>IF(ISNUMBER(SEARCH(Cover!$H$13,Table1[[#This Row],[School District]])),MAX($A$1:A472)+1,0)</f>
        <v>0</v>
      </c>
      <c r="B473" t="s">
        <v>1704</v>
      </c>
      <c r="C473" s="1599">
        <v>35050000061</v>
      </c>
      <c r="D473" s="664">
        <v>61</v>
      </c>
      <c r="E473" t="str">
        <f>IF(OR(Table1[[#This Row],[Type]]=0,Table1[[#This Row],[Type]]&gt;=40),"JA","SD")</f>
        <v>JA</v>
      </c>
      <c r="F473" t="s">
        <v>3165</v>
      </c>
      <c r="G473" s="661" t="s">
        <v>2500</v>
      </c>
      <c r="J473" s="653" t="str">
        <f>IFERROR(VLOOKUP(ROWS($J$2:J473),$A$2:$B$996,2,FALSE),"")</f>
        <v/>
      </c>
    </row>
    <row r="474" spans="1:10" x14ac:dyDescent="0.2">
      <c r="A474">
        <f>IF(ISNUMBER(SEARCH(Cover!$H$13,Table1[[#This Row],[School District]])),MAX($A$1:A473)+1,0)</f>
        <v>0</v>
      </c>
      <c r="B474" s="661" t="s">
        <v>1938</v>
      </c>
      <c r="C474" s="1599">
        <v>12051020026</v>
      </c>
      <c r="D474" s="664">
        <v>26</v>
      </c>
      <c r="E474" t="str">
        <f>IF(OR(Table1[[#This Row],[Type]]=0,Table1[[#This Row],[Type]]&gt;=40),"JA","SD")</f>
        <v>SD</v>
      </c>
      <c r="F474" t="s">
        <v>3190</v>
      </c>
      <c r="G474" s="661" t="s">
        <v>2501</v>
      </c>
      <c r="J474" s="653" t="str">
        <f>IFERROR(VLOOKUP(ROWS($J$2:J474),$A$2:$B$996,2,FALSE),"")</f>
        <v/>
      </c>
    </row>
    <row r="475" spans="1:10" x14ac:dyDescent="0.2">
      <c r="A475">
        <f>IF(ISNUMBER(SEARCH(Cover!$H$13,Table1[[#This Row],[School District]])),MAX($A$1:A474)+1,0)</f>
        <v>0</v>
      </c>
      <c r="B475" s="661" t="s">
        <v>1024</v>
      </c>
      <c r="C475" s="1599">
        <v>50082009026</v>
      </c>
      <c r="D475" s="664">
        <v>26</v>
      </c>
      <c r="E475" t="str">
        <f>IF(OR(Table1[[#This Row],[Type]]=0,Table1[[#This Row],[Type]]&gt;=40),"JA","SD")</f>
        <v>SD</v>
      </c>
      <c r="F475" t="s">
        <v>3134</v>
      </c>
      <c r="G475" s="661" t="s">
        <v>2502</v>
      </c>
      <c r="J475" s="653" t="str">
        <f>IFERROR(VLOOKUP(ROWS($J$2:J475),$A$2:$B$996,2,FALSE),"")</f>
        <v/>
      </c>
    </row>
    <row r="476" spans="1:10" x14ac:dyDescent="0.2">
      <c r="A476">
        <f>IF(ISNUMBER(SEARCH(Cover!$H$13,Table1[[#This Row],[School District]])),MAX($A$1:A475)+1,0)</f>
        <v>0</v>
      </c>
      <c r="B476" t="s">
        <v>1939</v>
      </c>
      <c r="C476" s="1599">
        <v>47052170061</v>
      </c>
      <c r="D476" s="664">
        <v>61</v>
      </c>
      <c r="E476" t="str">
        <f>IF(OR(Table1[[#This Row],[Type]]=0,Table1[[#This Row],[Type]]&gt;=40),"JA","SD")</f>
        <v>JA</v>
      </c>
      <c r="F476" t="s">
        <v>1777</v>
      </c>
      <c r="G476" s="661" t="s">
        <v>2503</v>
      </c>
      <c r="J476" s="653" t="str">
        <f>IFERROR(VLOOKUP(ROWS($J$2:J476),$A$2:$B$996,2,FALSE),"")</f>
        <v/>
      </c>
    </row>
    <row r="477" spans="1:10" x14ac:dyDescent="0.2">
      <c r="A477">
        <f>IF(ISNUMBER(SEARCH(Cover!$H$13,Table1[[#This Row],[School District]])),MAX($A$1:A476)+1,0)</f>
        <v>0</v>
      </c>
      <c r="B477" s="661" t="s">
        <v>1147</v>
      </c>
      <c r="C477" s="1599">
        <v>35050001026</v>
      </c>
      <c r="D477" s="664">
        <v>26</v>
      </c>
      <c r="E477" t="str">
        <f>IF(OR(Table1[[#This Row],[Type]]=0,Table1[[#This Row],[Type]]&gt;=40),"JA","SD")</f>
        <v>SD</v>
      </c>
      <c r="F477" t="s">
        <v>3191</v>
      </c>
      <c r="G477" s="661" t="s">
        <v>2504</v>
      </c>
      <c r="J477" s="653" t="str">
        <f>IFERROR(VLOOKUP(ROWS($J$2:J477),$A$2:$B$996,2,FALSE),"")</f>
        <v/>
      </c>
    </row>
    <row r="478" spans="1:10" x14ac:dyDescent="0.2">
      <c r="A478">
        <f>IF(ISNUMBER(SEARCH(Cover!$H$13,Table1[[#This Row],[School District]])),MAX($A$1:A477)+1,0)</f>
        <v>0</v>
      </c>
      <c r="B478" s="661" t="s">
        <v>1470</v>
      </c>
      <c r="C478" s="1599">
        <v>7016210017</v>
      </c>
      <c r="D478" s="664">
        <v>17</v>
      </c>
      <c r="E478" t="str">
        <f>IF(OR(Table1[[#This Row],[Type]]=0,Table1[[#This Row],[Type]]&gt;=40),"JA","SD")</f>
        <v>SD</v>
      </c>
      <c r="F478" t="s">
        <v>1766</v>
      </c>
      <c r="G478" s="661" t="s">
        <v>2505</v>
      </c>
      <c r="J478" s="653" t="str">
        <f>IFERROR(VLOOKUP(ROWS($J$2:J478),$A$2:$B$996,2,FALSE),"")</f>
        <v/>
      </c>
    </row>
    <row r="479" spans="1:10" x14ac:dyDescent="0.2">
      <c r="A479">
        <f>IF(ISNUMBER(SEARCH(Cover!$H$13,Table1[[#This Row],[School District]])),MAX($A$1:A478)+1,0)</f>
        <v>0</v>
      </c>
      <c r="B479" s="661" t="s">
        <v>939</v>
      </c>
      <c r="C479" s="1599" t="s">
        <v>940</v>
      </c>
      <c r="D479" s="664">
        <v>2</v>
      </c>
      <c r="E479" t="str">
        <f>IF(OR(Table1[[#This Row],[Type]]=0,Table1[[#This Row],[Type]]&gt;=40),"JA","SD")</f>
        <v>SD</v>
      </c>
      <c r="F479" t="s">
        <v>3192</v>
      </c>
      <c r="G479" s="661" t="s">
        <v>2506</v>
      </c>
      <c r="J479" s="653" t="str">
        <f>IFERROR(VLOOKUP(ROWS($J$2:J479),$A$2:$B$996,2,FALSE),"")</f>
        <v/>
      </c>
    </row>
    <row r="480" spans="1:10" ht="15" customHeight="1" x14ac:dyDescent="0.2">
      <c r="A480">
        <f>IF(ISNUMBER(SEARCH(Cover!$H$13,Table1[[#This Row],[School District]])),MAX($A$1:A479)+1,0)</f>
        <v>0</v>
      </c>
      <c r="B480" s="661" t="s">
        <v>1940</v>
      </c>
      <c r="C480" s="1599">
        <v>8089202026</v>
      </c>
      <c r="D480" s="664">
        <v>26</v>
      </c>
      <c r="E480" t="str">
        <f>IF(OR(Table1[[#This Row],[Type]]=0,Table1[[#This Row],[Type]]&gt;=40),"JA","SD")</f>
        <v>SD</v>
      </c>
      <c r="F480" t="s">
        <v>1870</v>
      </c>
      <c r="G480" s="661" t="s">
        <v>2507</v>
      </c>
      <c r="J480" s="653" t="str">
        <f>IFERROR(VLOOKUP(ROWS($J$2:J480),$A$2:$B$996,2,FALSE),"")</f>
        <v/>
      </c>
    </row>
    <row r="481" spans="1:10" x14ac:dyDescent="0.2">
      <c r="A481">
        <f>IF(ISNUMBER(SEARCH(Cover!$H$13,Table1[[#This Row],[School District]])),MAX($A$1:A480)+1,0)</f>
        <v>0</v>
      </c>
      <c r="B481" s="661" t="s">
        <v>1941</v>
      </c>
      <c r="C481" s="1599">
        <v>17064002026</v>
      </c>
      <c r="D481" s="664">
        <v>26</v>
      </c>
      <c r="E481" t="str">
        <f>IF(OR(Table1[[#This Row],[Type]]=0,Table1[[#This Row],[Type]]&gt;=40),"JA","SD")</f>
        <v>SD</v>
      </c>
      <c r="F481" t="s">
        <v>1801</v>
      </c>
      <c r="G481" s="661" t="s">
        <v>2508</v>
      </c>
      <c r="J481" s="653" t="str">
        <f>IFERROR(VLOOKUP(ROWS($J$2:J481),$A$2:$B$996,2,FALSE),"")</f>
        <v/>
      </c>
    </row>
    <row r="482" spans="1:10" x14ac:dyDescent="0.2">
      <c r="A482">
        <f>IF(ISNUMBER(SEARCH(Cover!$H$13,Table1[[#This Row],[School District]])),MAX($A$1:A481)+1,0)</f>
        <v>0</v>
      </c>
      <c r="B482" s="661" t="s">
        <v>1266</v>
      </c>
      <c r="C482" s="1599">
        <v>26029097026</v>
      </c>
      <c r="D482" s="664">
        <v>26</v>
      </c>
      <c r="E482" t="str">
        <f>IF(OR(Table1[[#This Row],[Type]]=0,Table1[[#This Row],[Type]]&gt;=40),"JA","SD")</f>
        <v>SD</v>
      </c>
      <c r="F482" t="s">
        <v>1786</v>
      </c>
      <c r="G482" s="661" t="s">
        <v>2509</v>
      </c>
      <c r="J482" s="653" t="str">
        <f>IFERROR(VLOOKUP(ROWS($J$2:J482),$A$2:$B$996,2,FALSE),"")</f>
        <v/>
      </c>
    </row>
    <row r="483" spans="1:10" x14ac:dyDescent="0.2">
      <c r="A483">
        <f>IF(ISNUMBER(SEARCH(Cover!$H$13,Table1[[#This Row],[School District]])),MAX($A$1:A482)+1,0)</f>
        <v>0</v>
      </c>
      <c r="B483" s="661" t="s">
        <v>1352</v>
      </c>
      <c r="C483" s="1599">
        <v>17064007026</v>
      </c>
      <c r="D483" s="664">
        <v>26</v>
      </c>
      <c r="E483" t="str">
        <f>IF(OR(Table1[[#This Row],[Type]]=0,Table1[[#This Row],[Type]]&gt;=40),"JA","SD")</f>
        <v>SD</v>
      </c>
      <c r="F483" t="s">
        <v>1801</v>
      </c>
      <c r="G483" s="661" t="s">
        <v>2510</v>
      </c>
      <c r="J483" s="653" t="str">
        <f>IFERROR(VLOOKUP(ROWS($J$2:J483),$A$2:$B$996,2,FALSE),"")</f>
        <v/>
      </c>
    </row>
    <row r="484" spans="1:10" x14ac:dyDescent="0.2">
      <c r="A484">
        <f>IF(ISNUMBER(SEARCH(Cover!$H$13,Table1[[#This Row],[School District]])),MAX($A$1:A483)+1,0)</f>
        <v>0</v>
      </c>
      <c r="B484" t="s">
        <v>1942</v>
      </c>
      <c r="C484" s="1599">
        <v>6016083061</v>
      </c>
      <c r="D484" s="664">
        <v>61</v>
      </c>
      <c r="E484" t="str">
        <f>IF(OR(Table1[[#This Row],[Type]]=0,Table1[[#This Row],[Type]]&gt;=40),"JA","SD")</f>
        <v>JA</v>
      </c>
      <c r="F484" t="s">
        <v>1766</v>
      </c>
      <c r="G484" s="661" t="s">
        <v>2511</v>
      </c>
      <c r="J484" s="653" t="str">
        <f>IFERROR(VLOOKUP(ROWS($J$2:J484),$A$2:$B$996,2,FALSE),"")</f>
        <v/>
      </c>
    </row>
    <row r="485" spans="1:10" x14ac:dyDescent="0.2">
      <c r="A485">
        <f>IF(ISNUMBER(SEARCH(Cover!$H$13,Table1[[#This Row],[School District]])),MAX($A$1:A484)+1,0)</f>
        <v>0</v>
      </c>
      <c r="B485" s="661" t="s">
        <v>1522</v>
      </c>
      <c r="C485" s="1599">
        <v>6016212016</v>
      </c>
      <c r="D485" s="664">
        <v>16</v>
      </c>
      <c r="E485" t="str">
        <f>IF(OR(Table1[[#This Row],[Type]]=0,Table1[[#This Row],[Type]]&gt;=40),"JA","SD")</f>
        <v>SD</v>
      </c>
      <c r="F485" t="s">
        <v>1766</v>
      </c>
      <c r="G485" s="661" t="s">
        <v>2512</v>
      </c>
      <c r="J485" s="653" t="str">
        <f>IFERROR(VLOOKUP(ROWS($J$2:J485),$A$2:$B$996,2,FALSE),"")</f>
        <v/>
      </c>
    </row>
    <row r="486" spans="1:10" x14ac:dyDescent="0.2">
      <c r="A486">
        <f>IF(ISNUMBER(SEARCH(Cover!$H$13,Table1[[#This Row],[School District]])),MAX($A$1:A485)+1,0)</f>
        <v>0</v>
      </c>
      <c r="B486" s="661" t="s">
        <v>1631</v>
      </c>
      <c r="C486" s="1599">
        <v>1001002026</v>
      </c>
      <c r="D486" s="664">
        <v>26</v>
      </c>
      <c r="E486" t="str">
        <f>IF(OR(Table1[[#This Row],[Type]]=0,Table1[[#This Row],[Type]]&gt;=40),"JA","SD")</f>
        <v>SD</v>
      </c>
      <c r="F486" t="s">
        <v>1843</v>
      </c>
      <c r="G486" s="661" t="s">
        <v>2513</v>
      </c>
      <c r="J486" s="653" t="str">
        <f>IFERROR(VLOOKUP(ROWS($J$2:J486),$A$2:$B$996,2,FALSE),"")</f>
        <v/>
      </c>
    </row>
    <row r="487" spans="1:10" x14ac:dyDescent="0.2">
      <c r="A487">
        <f>IF(ISNUMBER(SEARCH(Cover!$H$13,Table1[[#This Row],[School District]])),MAX($A$1:A486)+1,0)</f>
        <v>0</v>
      </c>
      <c r="B487" s="661" t="s">
        <v>1173</v>
      </c>
      <c r="C487" s="1599">
        <v>34049070002</v>
      </c>
      <c r="D487" s="664">
        <v>2</v>
      </c>
      <c r="E487" t="str">
        <f>IF(OR(Table1[[#This Row],[Type]]=0,Table1[[#This Row],[Type]]&gt;=40),"JA","SD")</f>
        <v>SD</v>
      </c>
      <c r="F487" t="s">
        <v>1765</v>
      </c>
      <c r="G487" s="661" t="s">
        <v>2514</v>
      </c>
      <c r="J487" s="653" t="str">
        <f>IFERROR(VLOOKUP(ROWS($J$2:J487),$A$2:$B$996,2,FALSE),"")</f>
        <v/>
      </c>
    </row>
    <row r="488" spans="1:10" x14ac:dyDescent="0.2">
      <c r="A488">
        <f>IF(ISNUMBER(SEARCH(Cover!$H$13,Table1[[#This Row],[School District]])),MAX($A$1:A487)+1,0)</f>
        <v>0</v>
      </c>
      <c r="B488" s="661" t="s">
        <v>1224</v>
      </c>
      <c r="C488" s="1599">
        <v>30091016004</v>
      </c>
      <c r="D488" s="664">
        <v>4</v>
      </c>
      <c r="E488" t="str">
        <f>IF(OR(Table1[[#This Row],[Type]]=0,Table1[[#This Row],[Type]]&gt;=40),"JA","SD")</f>
        <v>SD</v>
      </c>
      <c r="F488" t="s">
        <v>1778</v>
      </c>
      <c r="G488" s="661" t="s">
        <v>2515</v>
      </c>
      <c r="J488" s="653" t="str">
        <f>IFERROR(VLOOKUP(ROWS($J$2:J488),$A$2:$B$996,2,FALSE),"")</f>
        <v/>
      </c>
    </row>
    <row r="489" spans="1:10" x14ac:dyDescent="0.2">
      <c r="A489">
        <f>IF(ISNUMBER(SEARCH(Cover!$H$13,Table1[[#This Row],[School District]])),MAX($A$1:A488)+1,0)</f>
        <v>0</v>
      </c>
      <c r="B489" s="661" t="s">
        <v>1041</v>
      </c>
      <c r="C489" s="1599">
        <v>48072310016</v>
      </c>
      <c r="D489" s="664">
        <v>16</v>
      </c>
      <c r="E489" t="str">
        <f>IF(OR(Table1[[#This Row],[Type]]=0,Table1[[#This Row],[Type]]&gt;=40),"JA","SD")</f>
        <v>SD</v>
      </c>
      <c r="F489" t="s">
        <v>1790</v>
      </c>
      <c r="G489" s="661" t="s">
        <v>2516</v>
      </c>
      <c r="J489" s="653" t="str">
        <f>IFERROR(VLOOKUP(ROWS($J$2:J489),$A$2:$B$996,2,FALSE),"")</f>
        <v/>
      </c>
    </row>
    <row r="490" spans="1:10" x14ac:dyDescent="0.2">
      <c r="A490">
        <f>IF(ISNUMBER(SEARCH(Cover!$H$13,Table1[[#This Row],[School District]])),MAX($A$1:A489)+1,0)</f>
        <v>0</v>
      </c>
      <c r="B490" s="661" t="s">
        <v>1040</v>
      </c>
      <c r="C490" s="1599">
        <v>48072316004</v>
      </c>
      <c r="D490" s="664">
        <v>4</v>
      </c>
      <c r="E490" t="str">
        <f>IF(OR(Table1[[#This Row],[Type]]=0,Table1[[#This Row],[Type]]&gt;=40),"JA","SD")</f>
        <v>SD</v>
      </c>
      <c r="F490" t="s">
        <v>1790</v>
      </c>
      <c r="G490" s="661" t="s">
        <v>2517</v>
      </c>
      <c r="J490" s="653" t="str">
        <f>IFERROR(VLOOKUP(ROWS($J$2:J490),$A$2:$B$996,2,FALSE),"")</f>
        <v/>
      </c>
    </row>
    <row r="491" spans="1:10" ht="15" customHeight="1" x14ac:dyDescent="0.2">
      <c r="A491">
        <f>IF(ISNUMBER(SEARCH(Cover!$H$13,Table1[[#This Row],[School District]])),MAX($A$1:A490)+1,0)</f>
        <v>0</v>
      </c>
      <c r="B491" s="661" t="s">
        <v>1355</v>
      </c>
      <c r="C491" s="1599">
        <v>17054404016</v>
      </c>
      <c r="D491" s="664">
        <v>16</v>
      </c>
      <c r="E491" t="str">
        <f>IF(OR(Table1[[#This Row],[Type]]=0,Table1[[#This Row],[Type]]&gt;=40),"JA","SD")</f>
        <v>SD</v>
      </c>
      <c r="F491" t="s">
        <v>1856</v>
      </c>
      <c r="G491" s="661" t="s">
        <v>2518</v>
      </c>
      <c r="J491" s="653" t="str">
        <f>IFERROR(VLOOKUP(ROWS($J$2:J491),$A$2:$B$996,2,FALSE),"")</f>
        <v/>
      </c>
    </row>
    <row r="492" spans="1:10" ht="15" customHeight="1" x14ac:dyDescent="0.2">
      <c r="A492">
        <f>IF(ISNUMBER(SEARCH(Cover!$H$13,Table1[[#This Row],[School District]])),MAX($A$1:A491)+1,0)</f>
        <v>0</v>
      </c>
      <c r="B492" s="661" t="s">
        <v>1487</v>
      </c>
      <c r="C492" s="1599">
        <v>7016156002</v>
      </c>
      <c r="D492" s="664">
        <v>2</v>
      </c>
      <c r="E492" t="str">
        <f>IF(OR(Table1[[#This Row],[Type]]=0,Table1[[#This Row],[Type]]&gt;=40),"JA","SD")</f>
        <v>SD</v>
      </c>
      <c r="F492" t="s">
        <v>1766</v>
      </c>
      <c r="G492" s="661" t="s">
        <v>2519</v>
      </c>
      <c r="J492" s="653" t="str">
        <f>IFERROR(VLOOKUP(ROWS($J$2:J492),$A$2:$B$996,2,FALSE),"")</f>
        <v/>
      </c>
    </row>
    <row r="493" spans="1:10" x14ac:dyDescent="0.2">
      <c r="A493">
        <f>IF(ISNUMBER(SEARCH(Cover!$H$13,Table1[[#This Row],[School District]])),MAX($A$1:A492)+1,0)</f>
        <v>0</v>
      </c>
      <c r="B493" s="661" t="s">
        <v>1358</v>
      </c>
      <c r="C493" s="1599">
        <v>17054027002</v>
      </c>
      <c r="D493" s="664">
        <v>2</v>
      </c>
      <c r="E493" t="str">
        <f>IF(OR(Table1[[#This Row],[Type]]=0,Table1[[#This Row],[Type]]&gt;=40),"JA","SD")</f>
        <v>SD</v>
      </c>
      <c r="F493" t="s">
        <v>1856</v>
      </c>
      <c r="G493" s="661" t="s">
        <v>2520</v>
      </c>
      <c r="J493" s="653" t="str">
        <f>IFERROR(VLOOKUP(ROWS($J$2:J493),$A$2:$B$996,2,FALSE),"")</f>
        <v/>
      </c>
    </row>
    <row r="494" spans="1:10" ht="15" customHeight="1" x14ac:dyDescent="0.2">
      <c r="A494">
        <f>IF(ISNUMBER(SEARCH(Cover!$H$13,Table1[[#This Row],[School District]])),MAX($A$1:A493)+1,0)</f>
        <v>0</v>
      </c>
      <c r="B494" s="661" t="s">
        <v>941</v>
      </c>
      <c r="C494" s="1599">
        <v>56099210016</v>
      </c>
      <c r="D494" s="664">
        <v>16</v>
      </c>
      <c r="E494" t="str">
        <f>IF(OR(Table1[[#This Row],[Type]]=0,Table1[[#This Row],[Type]]&gt;=40),"JA","SD")</f>
        <v>SD</v>
      </c>
      <c r="F494" t="s">
        <v>3267</v>
      </c>
      <c r="G494" s="661" t="s">
        <v>2521</v>
      </c>
      <c r="J494" s="653" t="str">
        <f>IFERROR(VLOOKUP(ROWS($J$2:J494),$A$2:$B$996,2,FALSE),"")</f>
        <v/>
      </c>
    </row>
    <row r="495" spans="1:10" x14ac:dyDescent="0.2">
      <c r="A495">
        <f>IF(ISNUMBER(SEARCH(Cover!$H$13,Table1[[#This Row],[School District]])),MAX($A$1:A494)+1,0)</f>
        <v>0</v>
      </c>
      <c r="B495" t="s">
        <v>1674</v>
      </c>
      <c r="C495" s="1599">
        <v>17054404046</v>
      </c>
      <c r="D495" s="664">
        <v>46</v>
      </c>
      <c r="E495" t="str">
        <f>IF(OR(Table1[[#This Row],[Type]]=0,Table1[[#This Row],[Type]]&gt;=40),"JA","SD")</f>
        <v>JA</v>
      </c>
      <c r="F495" t="s">
        <v>3193</v>
      </c>
      <c r="G495" s="661" t="s">
        <v>2522</v>
      </c>
      <c r="J495" s="653" t="str">
        <f>IFERROR(VLOOKUP(ROWS($J$2:J495),$A$2:$B$996,2,FALSE),"")</f>
        <v/>
      </c>
    </row>
    <row r="496" spans="1:10" x14ac:dyDescent="0.2">
      <c r="A496">
        <f>IF(ISNUMBER(SEARCH(Cover!$H$13,Table1[[#This Row],[School District]])),MAX($A$1:A495)+1,0)</f>
        <v>0</v>
      </c>
      <c r="B496" t="s">
        <v>1673</v>
      </c>
      <c r="C496" s="1599">
        <v>17054404041</v>
      </c>
      <c r="D496" s="664">
        <v>41</v>
      </c>
      <c r="E496" t="str">
        <f>IF(OR(Table1[[#This Row],[Type]]=0,Table1[[#This Row],[Type]]&gt;=40),"JA","SD")</f>
        <v>JA</v>
      </c>
      <c r="F496" t="s">
        <v>3194</v>
      </c>
      <c r="G496" s="661" t="s">
        <v>2523</v>
      </c>
      <c r="J496" s="653" t="str">
        <f>IFERROR(VLOOKUP(ROWS($J$2:J496),$A$2:$B$996,2,FALSE),"")</f>
        <v/>
      </c>
    </row>
    <row r="497" spans="1:10" x14ac:dyDescent="0.2">
      <c r="A497">
        <f>IF(ISNUMBER(SEARCH(Cover!$H$13,Table1[[#This Row],[School District]])),MAX($A$1:A496)+1,0)</f>
        <v>0</v>
      </c>
      <c r="B497" s="661" t="s">
        <v>1164</v>
      </c>
      <c r="C497" s="1599">
        <v>34049103002</v>
      </c>
      <c r="D497" s="664">
        <v>2</v>
      </c>
      <c r="E497" t="str">
        <f>IF(OR(Table1[[#This Row],[Type]]=0,Table1[[#This Row],[Type]]&gt;=40),"JA","SD")</f>
        <v>SD</v>
      </c>
      <c r="F497" t="s">
        <v>1765</v>
      </c>
      <c r="G497" s="661" t="s">
        <v>2524</v>
      </c>
      <c r="J497" s="653" t="str">
        <f>IFERROR(VLOOKUP(ROWS($J$2:J497),$A$2:$B$996,2,FALSE),"")</f>
        <v/>
      </c>
    </row>
    <row r="498" spans="1:10" x14ac:dyDescent="0.2">
      <c r="A498">
        <f>IF(ISNUMBER(SEARCH(Cover!$H$13,Table1[[#This Row],[School District]])),MAX($A$1:A497)+1,0)</f>
        <v>0</v>
      </c>
      <c r="B498" t="s">
        <v>1748</v>
      </c>
      <c r="C498" s="1599">
        <v>56099843060</v>
      </c>
      <c r="D498" s="664">
        <v>60</v>
      </c>
      <c r="E498" t="str">
        <f>IF(OR(Table1[[#This Row],[Type]]=0,Table1[[#This Row],[Type]]&gt;=40),"JA","SD")</f>
        <v>JA</v>
      </c>
      <c r="F498" t="s">
        <v>1793</v>
      </c>
      <c r="G498" s="661" t="s">
        <v>2525</v>
      </c>
      <c r="J498" s="653" t="str">
        <f>IFERROR(VLOOKUP(ROWS($J$2:J498),$A$2:$B$996,2,FALSE),"")</f>
        <v/>
      </c>
    </row>
    <row r="499" spans="1:10" x14ac:dyDescent="0.2">
      <c r="A499">
        <f>IF(ISNUMBER(SEARCH(Cover!$H$13,Table1[[#This Row],[School District]])),MAX($A$1:A498)+1,0)</f>
        <v>0</v>
      </c>
      <c r="B499" s="661" t="s">
        <v>1559</v>
      </c>
      <c r="C499" s="1599">
        <v>5016074002</v>
      </c>
      <c r="D499" s="664">
        <v>2</v>
      </c>
      <c r="E499" t="str">
        <f>IF(OR(Table1[[#This Row],[Type]]=0,Table1[[#This Row],[Type]]&gt;=40),"JA","SD")</f>
        <v>SD</v>
      </c>
      <c r="F499" t="s">
        <v>1766</v>
      </c>
      <c r="G499" s="661" t="s">
        <v>2526</v>
      </c>
      <c r="J499" s="653" t="str">
        <f>IFERROR(VLOOKUP(ROWS($J$2:J499),$A$2:$B$996,2,FALSE),"")</f>
        <v/>
      </c>
    </row>
    <row r="500" spans="1:10" ht="15" customHeight="1" x14ac:dyDescent="0.2">
      <c r="A500">
        <f>IF(ISNUMBER(SEARCH(Cover!$H$13,Table1[[#This Row],[School District]])),MAX($A$1:A499)+1,0)</f>
        <v>0</v>
      </c>
      <c r="B500" s="661" t="s">
        <v>1541</v>
      </c>
      <c r="C500" s="1599">
        <v>6016092002</v>
      </c>
      <c r="D500" s="664">
        <v>2</v>
      </c>
      <c r="E500" t="str">
        <f>IF(OR(Table1[[#This Row],[Type]]=0,Table1[[#This Row],[Type]]&gt;=40),"JA","SD")</f>
        <v>SD</v>
      </c>
      <c r="F500" t="s">
        <v>1766</v>
      </c>
      <c r="G500" s="661" t="s">
        <v>2527</v>
      </c>
      <c r="J500" s="653" t="str">
        <f>IFERROR(VLOOKUP(ROWS($J$2:J500),$A$2:$B$996,2,FALSE),"")</f>
        <v/>
      </c>
    </row>
    <row r="501" spans="1:10" ht="15" customHeight="1" x14ac:dyDescent="0.2">
      <c r="A501">
        <f>IF(ISNUMBER(SEARCH(Cover!$H$13,Table1[[#This Row],[School District]])),MAX($A$1:A500)+1,0)</f>
        <v>0</v>
      </c>
      <c r="B501" s="661" t="s">
        <v>1943</v>
      </c>
      <c r="C501" s="1599">
        <v>24047090004</v>
      </c>
      <c r="D501" s="664">
        <v>4</v>
      </c>
      <c r="E501" t="str">
        <f>IF(OR(Table1[[#This Row],[Type]]=0,Table1[[#This Row],[Type]]&gt;=40),"JA","SD")</f>
        <v>SD</v>
      </c>
      <c r="F501" t="s">
        <v>3195</v>
      </c>
      <c r="G501" s="661" t="s">
        <v>2528</v>
      </c>
      <c r="J501" s="653" t="str">
        <f>IFERROR(VLOOKUP(ROWS($J$2:J501),$A$2:$B$996,2,FALSE),"")</f>
        <v/>
      </c>
    </row>
    <row r="502" spans="1:10" ht="15" customHeight="1" x14ac:dyDescent="0.2">
      <c r="A502">
        <f>IF(ISNUMBER(SEARCH(Cover!$H$13,Table1[[#This Row],[School District]])),MAX($A$1:A501)+1,0)</f>
        <v>0</v>
      </c>
      <c r="B502" s="661" t="s">
        <v>1317</v>
      </c>
      <c r="C502" s="1599">
        <v>19022202026</v>
      </c>
      <c r="D502" s="664">
        <v>26</v>
      </c>
      <c r="E502" t="str">
        <f>IF(OR(Table1[[#This Row],[Type]]=0,Table1[[#This Row],[Type]]&gt;=40),"JA","SD")</f>
        <v>SD</v>
      </c>
      <c r="F502" t="s">
        <v>3143</v>
      </c>
      <c r="G502" s="661" t="s">
        <v>2529</v>
      </c>
      <c r="J502" s="653" t="str">
        <f>IFERROR(VLOOKUP(ROWS($J$2:J502),$A$2:$B$996,2,FALSE),"")</f>
        <v/>
      </c>
    </row>
    <row r="503" spans="1:10" ht="15" customHeight="1" x14ac:dyDescent="0.2">
      <c r="A503">
        <f>IF(ISNUMBER(SEARCH(Cover!$H$13,Table1[[#This Row],[School District]])),MAX($A$1:A502)+1,0)</f>
        <v>0</v>
      </c>
      <c r="B503" s="661" t="s">
        <v>1944</v>
      </c>
      <c r="C503" s="1599">
        <v>3068012026</v>
      </c>
      <c r="D503" s="664">
        <v>26</v>
      </c>
      <c r="E503" t="str">
        <f>IF(OR(Table1[[#This Row],[Type]]=0,Table1[[#This Row],[Type]]&gt;=40),"JA","SD")</f>
        <v>SD</v>
      </c>
      <c r="F503" t="s">
        <v>3196</v>
      </c>
      <c r="G503" s="661" t="s">
        <v>2530</v>
      </c>
      <c r="J503" s="653" t="str">
        <f>IFERROR(VLOOKUP(ROWS($J$2:J503),$A$2:$B$996,2,FALSE),"")</f>
        <v/>
      </c>
    </row>
    <row r="504" spans="1:10" x14ac:dyDescent="0.2">
      <c r="A504">
        <f>IF(ISNUMBER(SEARCH(Cover!$H$13,Table1[[#This Row],[School District]])),MAX($A$1:A503)+1,0)</f>
        <v>0</v>
      </c>
      <c r="B504" t="s">
        <v>1671</v>
      </c>
      <c r="C504" s="1599">
        <v>17053090041</v>
      </c>
      <c r="D504" s="664">
        <v>41</v>
      </c>
      <c r="E504" t="str">
        <f>IF(OR(Table1[[#This Row],[Type]]=0,Table1[[#This Row],[Type]]&gt;=40),"JA","SD")</f>
        <v>JA</v>
      </c>
      <c r="F504" t="s">
        <v>1866</v>
      </c>
      <c r="G504" s="661" t="s">
        <v>2531</v>
      </c>
      <c r="J504" s="653" t="str">
        <f>IFERROR(VLOOKUP(ROWS($J$2:J504),$A$2:$B$996,2,FALSE),"")</f>
        <v/>
      </c>
    </row>
    <row r="505" spans="1:10" x14ac:dyDescent="0.2">
      <c r="A505">
        <f>IF(ISNUMBER(SEARCH(Cover!$H$13,Table1[[#This Row],[School District]])),MAX($A$1:A504)+1,0)</f>
        <v>0</v>
      </c>
      <c r="B505" t="s">
        <v>1672</v>
      </c>
      <c r="C505" s="1599">
        <v>17053090046</v>
      </c>
      <c r="D505" s="664">
        <v>46</v>
      </c>
      <c r="E505" t="str">
        <f>IF(OR(Table1[[#This Row],[Type]]=0,Table1[[#This Row],[Type]]&gt;=40),"JA","SD")</f>
        <v>JA</v>
      </c>
      <c r="F505" t="s">
        <v>1866</v>
      </c>
      <c r="G505" s="661" t="s">
        <v>2532</v>
      </c>
      <c r="J505" s="653" t="str">
        <f>IFERROR(VLOOKUP(ROWS($J$2:J505),$A$2:$B$996,2,FALSE),"")</f>
        <v/>
      </c>
    </row>
    <row r="506" spans="1:10" x14ac:dyDescent="0.2">
      <c r="A506">
        <f>IF(ISNUMBER(SEARCH(Cover!$H$13,Table1[[#This Row],[School District]])),MAX($A$1:A505)+1,0)</f>
        <v>0</v>
      </c>
      <c r="B506" t="s">
        <v>1670</v>
      </c>
      <c r="C506" s="1599">
        <v>17053000061</v>
      </c>
      <c r="D506" s="664">
        <v>61</v>
      </c>
      <c r="E506" t="str">
        <f>IF(OR(Table1[[#This Row],[Type]]=0,Table1[[#This Row],[Type]]&gt;=40),"JA","SD")</f>
        <v>JA</v>
      </c>
      <c r="F506" t="s">
        <v>1866</v>
      </c>
      <c r="G506" s="661" t="s">
        <v>2533</v>
      </c>
      <c r="J506" s="653" t="str">
        <f>IFERROR(VLOOKUP(ROWS($J$2:J506),$A$2:$B$996,2,FALSE),"")</f>
        <v/>
      </c>
    </row>
    <row r="507" spans="1:10" x14ac:dyDescent="0.2">
      <c r="A507">
        <f>IF(ISNUMBER(SEARCH(Cover!$H$13,Table1[[#This Row],[School District]])),MAX($A$1:A506)+1,0)</f>
        <v>0</v>
      </c>
      <c r="B507" t="s">
        <v>1733</v>
      </c>
      <c r="C507" s="1599">
        <v>56099088061</v>
      </c>
      <c r="D507" s="664">
        <v>61</v>
      </c>
      <c r="E507" t="str">
        <f>IF(OR(Table1[[#This Row],[Type]]=0,Table1[[#This Row],[Type]]&gt;=40),"JA","SD")</f>
        <v>JA</v>
      </c>
      <c r="F507" t="s">
        <v>1793</v>
      </c>
      <c r="G507" s="661" t="s">
        <v>2534</v>
      </c>
      <c r="J507" s="653" t="str">
        <f>IFERROR(VLOOKUP(ROWS($J$2:J507),$A$2:$B$996,2,FALSE),"")</f>
        <v/>
      </c>
    </row>
    <row r="508" spans="1:10" x14ac:dyDescent="0.2">
      <c r="A508">
        <f>IF(ISNUMBER(SEARCH(Cover!$H$13,Table1[[#This Row],[School District]])),MAX($A$1:A507)+1,0)</f>
        <v>0</v>
      </c>
      <c r="B508" s="661" t="s">
        <v>950</v>
      </c>
      <c r="C508" s="1599">
        <v>56099091002</v>
      </c>
      <c r="D508" s="664">
        <v>2</v>
      </c>
      <c r="E508" t="str">
        <f>IF(OR(Table1[[#This Row],[Type]]=0,Table1[[#This Row],[Type]]&gt;=40),"JA","SD")</f>
        <v>SD</v>
      </c>
      <c r="F508" t="s">
        <v>1793</v>
      </c>
      <c r="G508" s="661" t="s">
        <v>2535</v>
      </c>
      <c r="J508" s="653" t="str">
        <f>IFERROR(VLOOKUP(ROWS($J$2:J508),$A$2:$B$996,2,FALSE),"")</f>
        <v/>
      </c>
    </row>
    <row r="509" spans="1:10" x14ac:dyDescent="0.2">
      <c r="A509">
        <f>IF(ISNUMBER(SEARCH(Cover!$H$13,Table1[[#This Row],[School District]])),MAX($A$1:A508)+1,0)</f>
        <v>0</v>
      </c>
      <c r="B509" s="661" t="s">
        <v>942</v>
      </c>
      <c r="C509" s="1599">
        <v>56099205017</v>
      </c>
      <c r="D509" s="664">
        <v>17</v>
      </c>
      <c r="E509" t="str">
        <f>IF(OR(Table1[[#This Row],[Type]]=0,Table1[[#This Row],[Type]]&gt;=40),"JA","SD")</f>
        <v>SD</v>
      </c>
      <c r="F509" t="s">
        <v>1793</v>
      </c>
      <c r="G509" s="661" t="s">
        <v>2536</v>
      </c>
      <c r="J509" s="653" t="str">
        <f>IFERROR(VLOOKUP(ROWS($J$2:J509),$A$2:$B$996,2,FALSE),"")</f>
        <v/>
      </c>
    </row>
    <row r="510" spans="1:10" x14ac:dyDescent="0.2">
      <c r="A510">
        <f>IF(ISNUMBER(SEARCH(Cover!$H$13,Table1[[#This Row],[School District]])),MAX($A$1:A509)+1,0)</f>
        <v>0</v>
      </c>
      <c r="B510" s="661" t="s">
        <v>1334</v>
      </c>
      <c r="C510" s="1599">
        <v>19022044002</v>
      </c>
      <c r="D510" s="664">
        <v>2</v>
      </c>
      <c r="E510" t="str">
        <f>IF(OR(Table1[[#This Row],[Type]]=0,Table1[[#This Row],[Type]]&gt;=40),"JA","SD")</f>
        <v>SD</v>
      </c>
      <c r="F510" t="s">
        <v>3143</v>
      </c>
      <c r="G510" s="661" t="s">
        <v>2537</v>
      </c>
      <c r="J510" s="653" t="str">
        <f>IFERROR(VLOOKUP(ROWS($J$2:J510),$A$2:$B$996,2,FALSE),"")</f>
        <v/>
      </c>
    </row>
    <row r="511" spans="1:10" x14ac:dyDescent="0.2">
      <c r="A511">
        <f>IF(ISNUMBER(SEARCH(Cover!$H$13,Table1[[#This Row],[School District]])),MAX($A$1:A510)+1,0)</f>
        <v>0</v>
      </c>
      <c r="B511" s="661" t="s">
        <v>1124</v>
      </c>
      <c r="C511" s="1599">
        <v>35050425026</v>
      </c>
      <c r="D511" s="664">
        <v>26</v>
      </c>
      <c r="E511" t="str">
        <f>IF(OR(Table1[[#This Row],[Type]]=0,Table1[[#This Row],[Type]]&gt;=40),"JA","SD")</f>
        <v>SD</v>
      </c>
      <c r="F511" t="s">
        <v>3165</v>
      </c>
      <c r="G511" s="661" t="s">
        <v>2538</v>
      </c>
      <c r="J511" s="653" t="str">
        <f>IFERROR(VLOOKUP(ROWS($J$2:J511),$A$2:$B$996,2,FALSE),"")</f>
        <v/>
      </c>
    </row>
    <row r="512" spans="1:10" x14ac:dyDescent="0.2">
      <c r="A512">
        <f>IF(ISNUMBER(SEARCH(Cover!$H$13,Table1[[#This Row],[School District]])),MAX($A$1:A511)+1,0)</f>
        <v>0</v>
      </c>
      <c r="B512" s="661" t="s">
        <v>967</v>
      </c>
      <c r="C512" s="1599">
        <v>53102021026</v>
      </c>
      <c r="D512" s="664">
        <v>26</v>
      </c>
      <c r="E512" t="str">
        <f>IF(OR(Table1[[#This Row],[Type]]=0,Table1[[#This Row],[Type]]&gt;=40),"JA","SD")</f>
        <v>SD</v>
      </c>
      <c r="F512" t="s">
        <v>3256</v>
      </c>
      <c r="G512" s="661" t="s">
        <v>2539</v>
      </c>
      <c r="J512" s="653" t="str">
        <f>IFERROR(VLOOKUP(ROWS($J$2:J512),$A$2:$B$996,2,FALSE),"")</f>
        <v/>
      </c>
    </row>
    <row r="513" spans="1:10" ht="15" customHeight="1" x14ac:dyDescent="0.2">
      <c r="A513">
        <f>IF(ISNUMBER(SEARCH(Cover!$H$13,Table1[[#This Row],[School District]])),MAX($A$1:A512)+1,0)</f>
        <v>0</v>
      </c>
      <c r="B513" s="661" t="s">
        <v>1446</v>
      </c>
      <c r="C513" s="1599">
        <v>9010142004</v>
      </c>
      <c r="D513" s="664">
        <v>4</v>
      </c>
      <c r="E513" t="str">
        <f>IF(OR(Table1[[#This Row],[Type]]=0,Table1[[#This Row],[Type]]&gt;=40),"JA","SD")</f>
        <v>SD</v>
      </c>
      <c r="F513" t="s">
        <v>1851</v>
      </c>
      <c r="G513" s="661" t="s">
        <v>2540</v>
      </c>
      <c r="J513" s="653" t="str">
        <f>IFERROR(VLOOKUP(ROWS($J$2:J513),$A$2:$B$996,2,FALSE),"")</f>
        <v/>
      </c>
    </row>
    <row r="514" spans="1:10" ht="15" customHeight="1" x14ac:dyDescent="0.2">
      <c r="A514">
        <f>IF(ISNUMBER(SEARCH(Cover!$H$13,Table1[[#This Row],[School District]])),MAX($A$1:A513)+1,0)</f>
        <v>0</v>
      </c>
      <c r="B514" s="661" t="s">
        <v>1529</v>
      </c>
      <c r="C514" s="1599">
        <v>6016103002</v>
      </c>
      <c r="D514" s="664">
        <v>2</v>
      </c>
      <c r="E514" t="str">
        <f>IF(OR(Table1[[#This Row],[Type]]=0,Table1[[#This Row],[Type]]&gt;=40),"JA","SD")</f>
        <v>SD</v>
      </c>
      <c r="F514" t="s">
        <v>1766</v>
      </c>
      <c r="G514" s="661" t="s">
        <v>2541</v>
      </c>
      <c r="J514" s="653" t="str">
        <f>IFERROR(VLOOKUP(ROWS($J$2:J514),$A$2:$B$996,2,FALSE),"")</f>
        <v/>
      </c>
    </row>
    <row r="515" spans="1:10" ht="15" customHeight="1" x14ac:dyDescent="0.2">
      <c r="A515">
        <f>IF(ISNUMBER(SEARCH(Cover!$H$13,Table1[[#This Row],[School District]])),MAX($A$1:A514)+1,0)</f>
        <v>0</v>
      </c>
      <c r="B515" s="661" t="s">
        <v>1524</v>
      </c>
      <c r="C515" s="1599">
        <v>6016204017</v>
      </c>
      <c r="D515" s="664">
        <v>17</v>
      </c>
      <c r="E515" t="str">
        <f>IF(OR(Table1[[#This Row],[Type]]=0,Table1[[#This Row],[Type]]&gt;=40),"JA","SD")</f>
        <v>SD</v>
      </c>
      <c r="F515" t="s">
        <v>1766</v>
      </c>
      <c r="G515" s="661" t="s">
        <v>2542</v>
      </c>
      <c r="J515" s="653" t="str">
        <f>IFERROR(VLOOKUP(ROWS($J$2:J515),$A$2:$B$996,2,FALSE),"")</f>
        <v/>
      </c>
    </row>
    <row r="516" spans="1:10" ht="15" customHeight="1" x14ac:dyDescent="0.2">
      <c r="A516">
        <f>IF(ISNUMBER(SEARCH(Cover!$H$13,Table1[[#This Row],[School District]])),MAX($A$1:A515)+1,0)</f>
        <v>0</v>
      </c>
      <c r="B516" s="661" t="s">
        <v>1257</v>
      </c>
      <c r="C516" s="1599">
        <v>26062185026</v>
      </c>
      <c r="D516" s="664">
        <v>26</v>
      </c>
      <c r="E516" t="str">
        <f>IF(OR(Table1[[#This Row],[Type]]=0,Table1[[#This Row],[Type]]&gt;=40),"JA","SD")</f>
        <v>SD</v>
      </c>
      <c r="F516" t="s">
        <v>1820</v>
      </c>
      <c r="G516" s="661" t="s">
        <v>2543</v>
      </c>
      <c r="J516" s="653" t="str">
        <f>IFERROR(VLOOKUP(ROWS($J$2:J516),$A$2:$B$996,2,FALSE),"")</f>
        <v/>
      </c>
    </row>
    <row r="517" spans="1:10" x14ac:dyDescent="0.2">
      <c r="A517">
        <f>IF(ISNUMBER(SEARCH(Cover!$H$13,Table1[[#This Row],[School District]])),MAX($A$1:A516)+1,0)</f>
        <v>0</v>
      </c>
      <c r="B517" t="s">
        <v>1749</v>
      </c>
      <c r="C517" s="1599">
        <v>39055061061</v>
      </c>
      <c r="D517" s="664">
        <v>61</v>
      </c>
      <c r="E517" t="str">
        <f>IF(OR(Table1[[#This Row],[Type]]=0,Table1[[#This Row],[Type]]&gt;=40),"JA","SD")</f>
        <v>JA</v>
      </c>
      <c r="F517" t="s">
        <v>1913</v>
      </c>
      <c r="G517" s="661" t="s">
        <v>2544</v>
      </c>
      <c r="J517" s="653" t="str">
        <f>IFERROR(VLOOKUP(ROWS($J$2:J517),$A$2:$B$996,2,FALSE),"")</f>
        <v/>
      </c>
    </row>
    <row r="518" spans="1:10" x14ac:dyDescent="0.2">
      <c r="A518">
        <f>IF(ISNUMBER(SEARCH(Cover!$H$13,Table1[[#This Row],[School District]])),MAX($A$1:A517)+1,0)</f>
        <v>0</v>
      </c>
      <c r="B518" t="s">
        <v>1714</v>
      </c>
      <c r="C518" s="1599">
        <v>41057745045</v>
      </c>
      <c r="D518" s="664">
        <v>45</v>
      </c>
      <c r="E518" t="str">
        <f>IF(OR(Table1[[#This Row],[Type]]=0,Table1[[#This Row],[Type]]&gt;=40),"JA","SD")</f>
        <v>JA</v>
      </c>
      <c r="F518" t="s">
        <v>1774</v>
      </c>
      <c r="G518" s="661" t="s">
        <v>2545</v>
      </c>
      <c r="J518" s="653" t="str">
        <f>IFERROR(VLOOKUP(ROWS($J$2:J518),$A$2:$B$996,2,FALSE),"")</f>
        <v/>
      </c>
    </row>
    <row r="519" spans="1:10" x14ac:dyDescent="0.2">
      <c r="A519">
        <f>IF(ISNUMBER(SEARCH(Cover!$H$13,Table1[[#This Row],[School District]])),MAX($A$1:A518)+1,0)</f>
        <v>0</v>
      </c>
      <c r="B519" t="s">
        <v>1712</v>
      </c>
      <c r="C519" s="1599">
        <v>41057009061</v>
      </c>
      <c r="D519" s="664">
        <v>61</v>
      </c>
      <c r="E519" t="str">
        <f>IF(OR(Table1[[#This Row],[Type]]=0,Table1[[#This Row],[Type]]&gt;=40),"JA","SD")</f>
        <v>JA</v>
      </c>
      <c r="F519" t="s">
        <v>1774</v>
      </c>
      <c r="G519" s="661" t="s">
        <v>2546</v>
      </c>
      <c r="J519" s="653" t="str">
        <f>IFERROR(VLOOKUP(ROWS($J$2:J519),$A$2:$B$996,2,FALSE),"")</f>
        <v/>
      </c>
    </row>
    <row r="520" spans="1:10" x14ac:dyDescent="0.2">
      <c r="A520">
        <f>IF(ISNUMBER(SEARCH(Cover!$H$13,Table1[[#This Row],[School District]])),MAX($A$1:A519)+1,0)</f>
        <v>0</v>
      </c>
      <c r="B520" t="s">
        <v>1711</v>
      </c>
      <c r="C520" s="1599">
        <v>41057000063</v>
      </c>
      <c r="D520" s="664">
        <v>63</v>
      </c>
      <c r="E520" t="str">
        <f>IF(OR(Table1[[#This Row],[Type]]=0,Table1[[#This Row],[Type]]&gt;=40),"JA","SD")</f>
        <v>JA</v>
      </c>
      <c r="F520" t="s">
        <v>1774</v>
      </c>
      <c r="G520" s="661" t="s">
        <v>2547</v>
      </c>
      <c r="J520" s="653" t="str">
        <f>IFERROR(VLOOKUP(ROWS($J$2:J520),$A$2:$B$996,2,FALSE),"")</f>
        <v/>
      </c>
    </row>
    <row r="521" spans="1:10" x14ac:dyDescent="0.2">
      <c r="A521">
        <f>IF(ISNUMBER(SEARCH(Cover!$H$13,Table1[[#This Row],[School District]])),MAX($A$1:A520)+1,0)</f>
        <v>0</v>
      </c>
      <c r="B521" s="661" t="s">
        <v>1095</v>
      </c>
      <c r="C521" s="1599">
        <v>41057012026</v>
      </c>
      <c r="D521" s="664">
        <v>26</v>
      </c>
      <c r="E521" t="str">
        <f>IF(OR(Table1[[#This Row],[Type]]=0,Table1[[#This Row],[Type]]&gt;=40),"JA","SD")</f>
        <v>SD</v>
      </c>
      <c r="F521" t="s">
        <v>1774</v>
      </c>
      <c r="G521" s="661" t="s">
        <v>2548</v>
      </c>
      <c r="J521" s="653" t="str">
        <f>IFERROR(VLOOKUP(ROWS($J$2:J521),$A$2:$B$996,2,FALSE),"")</f>
        <v/>
      </c>
    </row>
    <row r="522" spans="1:10" x14ac:dyDescent="0.2">
      <c r="A522">
        <f>IF(ISNUMBER(SEARCH(Cover!$H$13,Table1[[#This Row],[School District]])),MAX($A$1:A521)+1,0)</f>
        <v>0</v>
      </c>
      <c r="B522" s="661" t="s">
        <v>1331</v>
      </c>
      <c r="C522" s="1599">
        <v>19022060002</v>
      </c>
      <c r="D522" s="664">
        <v>2</v>
      </c>
      <c r="E522" t="str">
        <f>IF(OR(Table1[[#This Row],[Type]]=0,Table1[[#This Row],[Type]]&gt;=40),"JA","SD")</f>
        <v>SD</v>
      </c>
      <c r="F522" t="s">
        <v>3143</v>
      </c>
      <c r="G522" s="661" t="s">
        <v>2549</v>
      </c>
      <c r="J522" s="653" t="str">
        <f>IFERROR(VLOOKUP(ROWS($J$2:J522),$A$2:$B$996,2,FALSE),"")</f>
        <v/>
      </c>
    </row>
    <row r="523" spans="1:10" x14ac:dyDescent="0.2">
      <c r="A523">
        <f>IF(ISNUMBER(SEARCH(Cover!$H$13,Table1[[#This Row],[School District]])),MAX($A$1:A522)+1,0)</f>
        <v>0</v>
      </c>
      <c r="B523" s="661" t="s">
        <v>1945</v>
      </c>
      <c r="C523" s="1599">
        <v>9010003026</v>
      </c>
      <c r="D523" s="664">
        <v>26</v>
      </c>
      <c r="E523" t="str">
        <f>IF(OR(Table1[[#This Row],[Type]]=0,Table1[[#This Row],[Type]]&gt;=40),"JA","SD")</f>
        <v>SD</v>
      </c>
      <c r="F523" t="s">
        <v>1851</v>
      </c>
      <c r="G523" s="661" t="s">
        <v>2550</v>
      </c>
      <c r="J523" s="653" t="str">
        <f>IFERROR(VLOOKUP(ROWS($J$2:J523),$A$2:$B$996,2,FALSE),"")</f>
        <v/>
      </c>
    </row>
    <row r="524" spans="1:10" x14ac:dyDescent="0.2">
      <c r="A524">
        <f>IF(ISNUMBER(SEARCH(Cover!$H$13,Table1[[#This Row],[School District]])),MAX($A$1:A523)+1,0)</f>
        <v>0</v>
      </c>
      <c r="B524" s="661" t="s">
        <v>1946</v>
      </c>
      <c r="C524" s="1599">
        <v>5016207017</v>
      </c>
      <c r="D524" s="664">
        <v>17</v>
      </c>
      <c r="E524" t="str">
        <f>IF(OR(Table1[[#This Row],[Type]]=0,Table1[[#This Row],[Type]]&gt;=40),"JA","SD")</f>
        <v>SD</v>
      </c>
      <c r="F524" t="s">
        <v>1766</v>
      </c>
      <c r="G524" s="661" t="s">
        <v>2551</v>
      </c>
      <c r="J524" s="653" t="str">
        <f>IFERROR(VLOOKUP(ROWS($J$2:J524),$A$2:$B$996,2,FALSE),"")</f>
        <v/>
      </c>
    </row>
    <row r="525" spans="1:10" x14ac:dyDescent="0.2">
      <c r="A525">
        <f>IF(ISNUMBER(SEARCH(Cover!$H$13,Table1[[#This Row],[School District]])),MAX($A$1:A524)+1,0)</f>
        <v>0</v>
      </c>
      <c r="B525" s="661" t="s">
        <v>1255</v>
      </c>
      <c r="C525" s="1599">
        <v>28006084004</v>
      </c>
      <c r="D525" s="664">
        <v>4</v>
      </c>
      <c r="E525" t="str">
        <f>IF(OR(Table1[[#This Row],[Type]]=0,Table1[[#This Row],[Type]]&gt;=40),"JA","SD")</f>
        <v>SD</v>
      </c>
      <c r="F525" t="s">
        <v>1818</v>
      </c>
      <c r="G525" s="661" t="s">
        <v>2552</v>
      </c>
      <c r="J525" s="653" t="str">
        <f>IFERROR(VLOOKUP(ROWS($J$2:J525),$A$2:$B$996,2,FALSE),"")</f>
        <v/>
      </c>
    </row>
    <row r="526" spans="1:10" x14ac:dyDescent="0.2">
      <c r="A526">
        <f>IF(ISNUMBER(SEARCH(Cover!$H$13,Table1[[#This Row],[School District]])),MAX($A$1:A525)+1,0)</f>
        <v>0</v>
      </c>
      <c r="B526" s="661" t="s">
        <v>949</v>
      </c>
      <c r="C526" s="1599">
        <v>56099114002</v>
      </c>
      <c r="D526" s="664">
        <v>2</v>
      </c>
      <c r="E526" t="str">
        <f>IF(OR(Table1[[#This Row],[Type]]=0,Table1[[#This Row],[Type]]&gt;=40),"JA","SD")</f>
        <v>SD</v>
      </c>
      <c r="F526" t="s">
        <v>1793</v>
      </c>
      <c r="G526" s="661" t="s">
        <v>2553</v>
      </c>
      <c r="J526" s="653" t="str">
        <f>IFERROR(VLOOKUP(ROWS($J$2:J526),$A$2:$B$996,2,FALSE),"")</f>
        <v/>
      </c>
    </row>
    <row r="527" spans="1:10" x14ac:dyDescent="0.2">
      <c r="A527">
        <f>IF(ISNUMBER(SEARCH(Cover!$H$13,Table1[[#This Row],[School District]])),MAX($A$1:A526)+1,0)</f>
        <v>0</v>
      </c>
      <c r="B527" s="661" t="s">
        <v>1550</v>
      </c>
      <c r="C527" s="1599">
        <v>6016083002</v>
      </c>
      <c r="D527" s="664">
        <v>2</v>
      </c>
      <c r="E527" t="str">
        <f>IF(OR(Table1[[#This Row],[Type]]=0,Table1[[#This Row],[Type]]&gt;=40),"JA","SD")</f>
        <v>SD</v>
      </c>
      <c r="F527" t="s">
        <v>1766</v>
      </c>
      <c r="G527" s="661" t="s">
        <v>2554</v>
      </c>
      <c r="J527" s="653" t="str">
        <f>IFERROR(VLOOKUP(ROWS($J$2:J527),$A$2:$B$996,2,FALSE),"")</f>
        <v/>
      </c>
    </row>
    <row r="528" spans="1:10" ht="15" customHeight="1" x14ac:dyDescent="0.2">
      <c r="A528">
        <f>IF(ISNUMBER(SEARCH(Cover!$H$13,Table1[[#This Row],[School District]])),MAX($A$1:A527)+1,0)</f>
        <v>0</v>
      </c>
      <c r="B528" s="661" t="s">
        <v>1204</v>
      </c>
      <c r="C528" s="1599">
        <v>32046005026</v>
      </c>
      <c r="D528" s="664">
        <v>26</v>
      </c>
      <c r="E528" t="str">
        <f>IF(OR(Table1[[#This Row],[Type]]=0,Table1[[#This Row],[Type]]&gt;=40),"JA","SD")</f>
        <v>SD</v>
      </c>
      <c r="F528" t="s">
        <v>3197</v>
      </c>
      <c r="G528" s="661" t="s">
        <v>2555</v>
      </c>
      <c r="J528" s="653" t="str">
        <f>IFERROR(VLOOKUP(ROWS($J$2:J528),$A$2:$B$996,2,FALSE),"")</f>
        <v/>
      </c>
    </row>
    <row r="529" spans="1:10" x14ac:dyDescent="0.2">
      <c r="A529">
        <f>IF(ISNUMBER(SEARCH(Cover!$H$13,Table1[[#This Row],[School District]])),MAX($A$1:A528)+1,0)</f>
        <v>0</v>
      </c>
      <c r="B529" s="661" t="s">
        <v>1083</v>
      </c>
      <c r="C529" s="1599">
        <v>44063154016</v>
      </c>
      <c r="D529" s="664">
        <v>16</v>
      </c>
      <c r="E529" t="str">
        <f>IF(OR(Table1[[#This Row],[Type]]=0,Table1[[#This Row],[Type]]&gt;=40),"JA","SD")</f>
        <v>SD</v>
      </c>
      <c r="F529" t="s">
        <v>1769</v>
      </c>
      <c r="G529" s="661" t="s">
        <v>2556</v>
      </c>
      <c r="J529" s="653" t="str">
        <f>IFERROR(VLOOKUP(ROWS($J$2:J529),$A$2:$B$996,2,FALSE),"")</f>
        <v/>
      </c>
    </row>
    <row r="530" spans="1:10" x14ac:dyDescent="0.2">
      <c r="A530">
        <f>IF(ISNUMBER(SEARCH(Cover!$H$13,Table1[[#This Row],[School District]])),MAX($A$1:A529)+1,0)</f>
        <v>0</v>
      </c>
      <c r="B530" s="661" t="s">
        <v>1947</v>
      </c>
      <c r="C530" s="1599">
        <v>44063165003</v>
      </c>
      <c r="D530" s="664">
        <v>3</v>
      </c>
      <c r="E530" t="str">
        <f>IF(OR(Table1[[#This Row],[Type]]=0,Table1[[#This Row],[Type]]&gt;=40),"JA","SD")</f>
        <v>SD</v>
      </c>
      <c r="F530" t="s">
        <v>1769</v>
      </c>
      <c r="G530" s="661" t="s">
        <v>2557</v>
      </c>
      <c r="J530" s="653" t="str">
        <f>IFERROR(VLOOKUP(ROWS($J$2:J530),$A$2:$B$996,2,FALSE),"")</f>
        <v/>
      </c>
    </row>
    <row r="531" spans="1:10" x14ac:dyDescent="0.2">
      <c r="A531">
        <f>IF(ISNUMBER(SEARCH(Cover!$H$13,Table1[[#This Row],[School District]])),MAX($A$1:A530)+1,0)</f>
        <v>0</v>
      </c>
      <c r="B531" s="661" t="s">
        <v>1284</v>
      </c>
      <c r="C531" s="1599">
        <v>21100002026</v>
      </c>
      <c r="D531" s="664">
        <v>26</v>
      </c>
      <c r="E531" t="str">
        <f>IF(OR(Table1[[#This Row],[Type]]=0,Table1[[#This Row],[Type]]&gt;=40),"JA","SD")</f>
        <v>SD</v>
      </c>
      <c r="F531" t="s">
        <v>3198</v>
      </c>
      <c r="G531" s="661" t="s">
        <v>2558</v>
      </c>
      <c r="J531" s="653" t="str">
        <f>IFERROR(VLOOKUP(ROWS($J$2:J531),$A$2:$B$996,2,FALSE),"")</f>
        <v/>
      </c>
    </row>
    <row r="532" spans="1:10" x14ac:dyDescent="0.2">
      <c r="A532">
        <f>IF(ISNUMBER(SEARCH(Cover!$H$13,Table1[[#This Row],[School District]])),MAX($A$1:A531)+1,0)</f>
        <v>0</v>
      </c>
      <c r="B532" t="s">
        <v>1948</v>
      </c>
      <c r="C532" s="1599">
        <v>13000000046</v>
      </c>
      <c r="D532" s="664">
        <v>46</v>
      </c>
      <c r="E532" t="str">
        <f>IF(OR(Table1[[#This Row],[Type]]=0,Table1[[#This Row],[Type]]&gt;=40),"JA","SD")</f>
        <v>JA</v>
      </c>
      <c r="F532" t="s">
        <v>1842</v>
      </c>
      <c r="G532" s="661" t="s">
        <v>2559</v>
      </c>
      <c r="J532" s="653" t="str">
        <f>IFERROR(VLOOKUP(ROWS($J$2:J532),$A$2:$B$996,2,FALSE),"")</f>
        <v/>
      </c>
    </row>
    <row r="533" spans="1:10" x14ac:dyDescent="0.2">
      <c r="A533">
        <f>IF(ISNUMBER(SEARCH(Cover!$H$13,Table1[[#This Row],[School District]])),MAX($A$1:A532)+1,0)</f>
        <v>0</v>
      </c>
      <c r="B533" s="661" t="s">
        <v>1022</v>
      </c>
      <c r="C533" s="1599">
        <v>50082040026</v>
      </c>
      <c r="D533" s="664">
        <v>26</v>
      </c>
      <c r="E533" t="str">
        <f>IF(OR(Table1[[#This Row],[Type]]=0,Table1[[#This Row],[Type]]&gt;=40),"JA","SD")</f>
        <v>SD</v>
      </c>
      <c r="F533" t="s">
        <v>3134</v>
      </c>
      <c r="G533" s="661" t="s">
        <v>2560</v>
      </c>
      <c r="J533" s="653" t="str">
        <f>IFERROR(VLOOKUP(ROWS($J$2:J533),$A$2:$B$996,2,FALSE),"")</f>
        <v/>
      </c>
    </row>
    <row r="534" spans="1:10" x14ac:dyDescent="0.2">
      <c r="A534">
        <f>IF(ISNUMBER(SEARCH(Cover!$H$13,Table1[[#This Row],[School District]])),MAX($A$1:A533)+1,0)</f>
        <v>0</v>
      </c>
      <c r="B534" s="661" t="s">
        <v>1949</v>
      </c>
      <c r="C534" s="1599">
        <v>39055002026</v>
      </c>
      <c r="D534" s="664">
        <v>26</v>
      </c>
      <c r="E534" t="str">
        <f>IF(OR(Table1[[#This Row],[Type]]=0,Table1[[#This Row],[Type]]&gt;=40),"JA","SD")</f>
        <v>SD</v>
      </c>
      <c r="F534" t="s">
        <v>3139</v>
      </c>
      <c r="G534" s="661" t="s">
        <v>2561</v>
      </c>
      <c r="J534" s="653" t="str">
        <f>IFERROR(VLOOKUP(ROWS($J$2:J534),$A$2:$B$996,2,FALSE),"")</f>
        <v/>
      </c>
    </row>
    <row r="535" spans="1:10" x14ac:dyDescent="0.2">
      <c r="A535">
        <f>IF(ISNUMBER(SEARCH(Cover!$H$13,Table1[[#This Row],[School District]])),MAX($A$1:A534)+1,0)</f>
        <v>0</v>
      </c>
      <c r="B535" s="661" t="s">
        <v>1341</v>
      </c>
      <c r="C535" s="1599">
        <v>19022015002</v>
      </c>
      <c r="D535" s="664">
        <v>2</v>
      </c>
      <c r="E535" t="str">
        <f>IF(OR(Table1[[#This Row],[Type]]=0,Table1[[#This Row],[Type]]&gt;=40),"JA","SD")</f>
        <v>SD</v>
      </c>
      <c r="F535" t="s">
        <v>3143</v>
      </c>
      <c r="G535" s="661" t="s">
        <v>2562</v>
      </c>
      <c r="J535" s="653" t="str">
        <f>IFERROR(VLOOKUP(ROWS($J$2:J535),$A$2:$B$996,2,FALSE),"")</f>
        <v/>
      </c>
    </row>
    <row r="536" spans="1:10" x14ac:dyDescent="0.2">
      <c r="A536">
        <f>IF(ISNUMBER(SEARCH(Cover!$H$13,Table1[[#This Row],[School District]])),MAX($A$1:A535)+1,0)</f>
        <v>0</v>
      </c>
      <c r="B536" s="661" t="s">
        <v>1132</v>
      </c>
      <c r="C536" s="1599">
        <v>35050150002</v>
      </c>
      <c r="D536" s="664">
        <v>2</v>
      </c>
      <c r="E536" t="str">
        <f>IF(OR(Table1[[#This Row],[Type]]=0,Table1[[#This Row],[Type]]&gt;=40),"JA","SD")</f>
        <v>SD</v>
      </c>
      <c r="F536" t="s">
        <v>3165</v>
      </c>
      <c r="G536" s="661" t="s">
        <v>2563</v>
      </c>
      <c r="J536" s="653" t="str">
        <f>IFERROR(VLOOKUP(ROWS($J$2:J536),$A$2:$B$996,2,FALSE),"")</f>
        <v/>
      </c>
    </row>
    <row r="537" spans="1:10" x14ac:dyDescent="0.2">
      <c r="A537">
        <f>IF(ISNUMBER(SEARCH(Cover!$H$13,Table1[[#This Row],[School District]])),MAX($A$1:A536)+1,0)</f>
        <v>0</v>
      </c>
      <c r="B537" s="661" t="s">
        <v>937</v>
      </c>
      <c r="C537" s="1599" t="s">
        <v>938</v>
      </c>
      <c r="D537" s="664">
        <v>26</v>
      </c>
      <c r="E537" t="str">
        <f>IF(OR(Table1[[#This Row],[Type]]=0,Table1[[#This Row],[Type]]&gt;=40),"JA","SD")</f>
        <v>SD</v>
      </c>
      <c r="F537" t="s">
        <v>1835</v>
      </c>
      <c r="G537" s="661" t="s">
        <v>2564</v>
      </c>
      <c r="J537" s="653" t="str">
        <f>IFERROR(VLOOKUP(ROWS($J$2:J537),$A$2:$B$996,2,FALSE),"")</f>
        <v/>
      </c>
    </row>
    <row r="538" spans="1:10" x14ac:dyDescent="0.2">
      <c r="A538">
        <f>IF(ISNUMBER(SEARCH(Cover!$H$13,Table1[[#This Row],[School District]])),MAX($A$1:A537)+1,0)</f>
        <v>0</v>
      </c>
      <c r="B538" s="661" t="s">
        <v>935</v>
      </c>
      <c r="C538" s="1599" t="s">
        <v>936</v>
      </c>
      <c r="D538" s="664">
        <v>26</v>
      </c>
      <c r="E538" t="str">
        <f>IF(OR(Table1[[#This Row],[Type]]=0,Table1[[#This Row],[Type]]&gt;=40),"JA","SD")</f>
        <v>SD</v>
      </c>
      <c r="F538" t="s">
        <v>1835</v>
      </c>
      <c r="G538" s="661" t="s">
        <v>2565</v>
      </c>
      <c r="J538" s="653" t="str">
        <f>IFERROR(VLOOKUP(ROWS($J$2:J538),$A$2:$B$996,2,FALSE),"")</f>
        <v/>
      </c>
    </row>
    <row r="539" spans="1:10" x14ac:dyDescent="0.2">
      <c r="A539">
        <f>IF(ISNUMBER(SEARCH(Cover!$H$13,Table1[[#This Row],[School District]])),MAX($A$1:A538)+1,0)</f>
        <v>0</v>
      </c>
      <c r="B539" s="661" t="s">
        <v>1023</v>
      </c>
      <c r="C539" s="1599">
        <v>50082019026</v>
      </c>
      <c r="D539" s="664">
        <v>26</v>
      </c>
      <c r="E539" t="str">
        <f>IF(OR(Table1[[#This Row],[Type]]=0,Table1[[#This Row],[Type]]&gt;=40),"JA","SD")</f>
        <v>SD</v>
      </c>
      <c r="F539" t="s">
        <v>3134</v>
      </c>
      <c r="G539" s="661" t="s">
        <v>2566</v>
      </c>
      <c r="J539" s="653" t="str">
        <f>IFERROR(VLOOKUP(ROWS($J$2:J539),$A$2:$B$996,2,FALSE),"")</f>
        <v/>
      </c>
    </row>
    <row r="540" spans="1:10" x14ac:dyDescent="0.2">
      <c r="A540">
        <f>IF(ISNUMBER(SEARCH(Cover!$H$13,Table1[[#This Row],[School District]])),MAX($A$1:A539)+1,0)</f>
        <v>0</v>
      </c>
      <c r="B540" s="661" t="s">
        <v>1950</v>
      </c>
      <c r="C540" s="1599">
        <v>21061001026</v>
      </c>
      <c r="D540" s="664">
        <v>26</v>
      </c>
      <c r="E540" t="str">
        <f>IF(OR(Table1[[#This Row],[Type]]=0,Table1[[#This Row],[Type]]&gt;=40),"JA","SD")</f>
        <v>SD</v>
      </c>
      <c r="F540" t="s">
        <v>1928</v>
      </c>
      <c r="G540" s="661" t="s">
        <v>2567</v>
      </c>
      <c r="J540" s="653" t="str">
        <f>IFERROR(VLOOKUP(ROWS($J$2:J540),$A$2:$B$996,2,FALSE),"")</f>
        <v/>
      </c>
    </row>
    <row r="541" spans="1:10" x14ac:dyDescent="0.2">
      <c r="A541">
        <f>IF(ISNUMBER(SEARCH(Cover!$H$13,Table1[[#This Row],[School District]])),MAX($A$1:A540)+1,0)</f>
        <v>0</v>
      </c>
      <c r="B541" s="661" t="s">
        <v>1481</v>
      </c>
      <c r="C541" s="1599">
        <v>7016162002</v>
      </c>
      <c r="D541" s="664">
        <v>2</v>
      </c>
      <c r="E541" t="str">
        <f>IF(OR(Table1[[#This Row],[Type]]=0,Table1[[#This Row],[Type]]&gt;=40),"JA","SD")</f>
        <v>SD</v>
      </c>
      <c r="F541" t="s">
        <v>1766</v>
      </c>
      <c r="G541" s="661" t="s">
        <v>2568</v>
      </c>
      <c r="J541" s="653" t="str">
        <f>IFERROR(VLOOKUP(ROWS($J$2:J541),$A$2:$B$996,2,FALSE),"")</f>
        <v/>
      </c>
    </row>
    <row r="542" spans="1:10" x14ac:dyDescent="0.2">
      <c r="A542">
        <f>IF(ISNUMBER(SEARCH(Cover!$H$13,Table1[[#This Row],[School District]])),MAX($A$1:A541)+1,0)</f>
        <v>0</v>
      </c>
      <c r="B542" s="661" t="s">
        <v>1438</v>
      </c>
      <c r="C542" s="1599">
        <v>11015002026</v>
      </c>
      <c r="D542" s="664">
        <v>26</v>
      </c>
      <c r="E542" t="str">
        <f>IF(OR(Table1[[#This Row],[Type]]=0,Table1[[#This Row],[Type]]&gt;=40),"JA","SD")</f>
        <v>SD</v>
      </c>
      <c r="F542" t="s">
        <v>3199</v>
      </c>
      <c r="G542" s="661" t="s">
        <v>2569</v>
      </c>
      <c r="J542" s="653" t="str">
        <f>IFERROR(VLOOKUP(ROWS($J$2:J542),$A$2:$B$996,2,FALSE),"")</f>
        <v/>
      </c>
    </row>
    <row r="543" spans="1:10" x14ac:dyDescent="0.2">
      <c r="A543">
        <f>IF(ISNUMBER(SEARCH(Cover!$H$13,Table1[[#This Row],[School District]])),MAX($A$1:A542)+1,0)</f>
        <v>0</v>
      </c>
      <c r="B543" s="661" t="s">
        <v>1951</v>
      </c>
      <c r="C543" s="1599">
        <v>6016089002</v>
      </c>
      <c r="D543" s="664">
        <v>2</v>
      </c>
      <c r="E543" t="str">
        <f>IF(OR(Table1[[#This Row],[Type]]=0,Table1[[#This Row],[Type]]&gt;=40),"JA","SD")</f>
        <v>SD</v>
      </c>
      <c r="F543" t="s">
        <v>1766</v>
      </c>
      <c r="G543" s="661" t="s">
        <v>2570</v>
      </c>
      <c r="J543" s="653" t="str">
        <f>IFERROR(VLOOKUP(ROWS($J$2:J543),$A$2:$B$996,2,FALSE),"")</f>
        <v/>
      </c>
    </row>
    <row r="544" spans="1:10" ht="15" customHeight="1" x14ac:dyDescent="0.2">
      <c r="A544">
        <f>IF(ISNUMBER(SEARCH(Cover!$H$13,Table1[[#This Row],[School District]])),MAX($A$1:A543)+1,0)</f>
        <v>0</v>
      </c>
      <c r="B544" s="661" t="s">
        <v>926</v>
      </c>
      <c r="C544" s="1599" t="s">
        <v>927</v>
      </c>
      <c r="D544" s="664">
        <v>2</v>
      </c>
      <c r="E544" t="str">
        <f>IF(OR(Table1[[#This Row],[Type]]=0,Table1[[#This Row],[Type]]&gt;=40),"JA","SD")</f>
        <v>SD</v>
      </c>
      <c r="F544" t="s">
        <v>1809</v>
      </c>
      <c r="G544" s="661" t="s">
        <v>2571</v>
      </c>
      <c r="J544" s="653" t="str">
        <f>IFERROR(VLOOKUP(ROWS($J$2:J544),$A$2:$B$996,2,FALSE),"")</f>
        <v/>
      </c>
    </row>
    <row r="545" spans="1:10" x14ac:dyDescent="0.2">
      <c r="A545">
        <f>IF(ISNUMBER(SEARCH(Cover!$H$13,Table1[[#This Row],[School District]])),MAX($A$1:A544)+1,0)</f>
        <v>0</v>
      </c>
      <c r="B545" s="661" t="s">
        <v>1399</v>
      </c>
      <c r="C545" s="1599">
        <v>13041012004</v>
      </c>
      <c r="D545" s="664">
        <v>4</v>
      </c>
      <c r="E545" t="str">
        <f>IF(OR(Table1[[#This Row],[Type]]=0,Table1[[#This Row],[Type]]&gt;=40),"JA","SD")</f>
        <v>SD</v>
      </c>
      <c r="F545" t="s">
        <v>1797</v>
      </c>
      <c r="G545" s="661" t="s">
        <v>2572</v>
      </c>
      <c r="J545" s="653" t="str">
        <f>IFERROR(VLOOKUP(ROWS($J$2:J545),$A$2:$B$996,2,FALSE),"")</f>
        <v/>
      </c>
    </row>
    <row r="546" spans="1:10" ht="15" customHeight="1" x14ac:dyDescent="0.2">
      <c r="A546">
        <f>IF(ISNUMBER(SEARCH(Cover!$H$13,Table1[[#This Row],[School District]])),MAX($A$1:A545)+1,0)</f>
        <v>0</v>
      </c>
      <c r="B546" s="661" t="s">
        <v>1090</v>
      </c>
      <c r="C546" s="1599">
        <v>44063015004</v>
      </c>
      <c r="D546" s="664">
        <v>4</v>
      </c>
      <c r="E546" t="str">
        <f>IF(OR(Table1[[#This Row],[Type]]=0,Table1[[#This Row],[Type]]&gt;=40),"JA","SD")</f>
        <v>SD</v>
      </c>
      <c r="F546" t="s">
        <v>3152</v>
      </c>
      <c r="G546" s="661" t="s">
        <v>2573</v>
      </c>
      <c r="J546" s="653" t="str">
        <f>IFERROR(VLOOKUP(ROWS($J$2:J546),$A$2:$B$996,2,FALSE),"")</f>
        <v/>
      </c>
    </row>
    <row r="547" spans="1:10" x14ac:dyDescent="0.2">
      <c r="A547">
        <f>IF(ISNUMBER(SEARCH(Cover!$H$13,Table1[[#This Row],[School District]])),MAX($A$1:A546)+1,0)</f>
        <v>0</v>
      </c>
      <c r="B547" s="661" t="s">
        <v>1081</v>
      </c>
      <c r="C547" s="1599">
        <v>44063156016</v>
      </c>
      <c r="D547" s="664">
        <v>16</v>
      </c>
      <c r="E547" t="str">
        <f>IF(OR(Table1[[#This Row],[Type]]=0,Table1[[#This Row],[Type]]&gt;=40),"JA","SD")</f>
        <v>SD</v>
      </c>
      <c r="F547" t="s">
        <v>1769</v>
      </c>
      <c r="G547" s="661" t="s">
        <v>2574</v>
      </c>
      <c r="J547" s="653" t="str">
        <f>IFERROR(VLOOKUP(ROWS($J$2:J547),$A$2:$B$996,2,FALSE),"")</f>
        <v/>
      </c>
    </row>
    <row r="548" spans="1:10" x14ac:dyDescent="0.2">
      <c r="A548">
        <f>IF(ISNUMBER(SEARCH(Cover!$H$13,Table1[[#This Row],[School District]])),MAX($A$1:A547)+1,0)</f>
        <v>0</v>
      </c>
      <c r="B548" t="s">
        <v>1742</v>
      </c>
      <c r="C548" s="1599">
        <v>44000000046</v>
      </c>
      <c r="D548" s="664">
        <v>46</v>
      </c>
      <c r="E548" t="str">
        <f>IF(OR(Table1[[#This Row],[Type]]=0,Table1[[#This Row],[Type]]&gt;=40),"JA","SD")</f>
        <v>JA</v>
      </c>
      <c r="F548" t="s">
        <v>1769</v>
      </c>
      <c r="G548" s="661" t="s">
        <v>2575</v>
      </c>
      <c r="J548" s="653" t="str">
        <f>IFERROR(VLOOKUP(ROWS($J$2:J548),$A$2:$B$996,2,FALSE),"")</f>
        <v/>
      </c>
    </row>
    <row r="549" spans="1:10" x14ac:dyDescent="0.2">
      <c r="A549">
        <f>IF(ISNUMBER(SEARCH(Cover!$H$13,Table1[[#This Row],[School District]])),MAX($A$1:A548)+1,0)</f>
        <v>0</v>
      </c>
      <c r="B549" s="661" t="s">
        <v>1952</v>
      </c>
      <c r="C549" s="1599">
        <v>17064005026</v>
      </c>
      <c r="D549" s="664">
        <v>26</v>
      </c>
      <c r="E549" t="str">
        <f>IF(OR(Table1[[#This Row],[Type]]=0,Table1[[#This Row],[Type]]&gt;=40),"JA","SD")</f>
        <v>SD</v>
      </c>
      <c r="F549" t="s">
        <v>3200</v>
      </c>
      <c r="G549" s="661" t="s">
        <v>2576</v>
      </c>
      <c r="J549" s="653" t="str">
        <f>IFERROR(VLOOKUP(ROWS($J$2:J549),$A$2:$B$996,2,FALSE),"")</f>
        <v/>
      </c>
    </row>
    <row r="550" spans="1:10" x14ac:dyDescent="0.2">
      <c r="A550">
        <f>IF(ISNUMBER(SEARCH(Cover!$H$13,Table1[[#This Row],[School District]])),MAX($A$1:A549)+1,0)</f>
        <v>0</v>
      </c>
      <c r="B550" t="s">
        <v>1678</v>
      </c>
      <c r="C550" s="1599">
        <v>17064087046</v>
      </c>
      <c r="D550" s="664">
        <v>46</v>
      </c>
      <c r="E550" t="str">
        <f>IF(OR(Table1[[#This Row],[Type]]=0,Table1[[#This Row],[Type]]&gt;=40),"JA","SD")</f>
        <v>JA</v>
      </c>
      <c r="F550" t="s">
        <v>1801</v>
      </c>
      <c r="G550" s="661" t="s">
        <v>2577</v>
      </c>
      <c r="J550" s="653" t="str">
        <f>IFERROR(VLOOKUP(ROWS($J$2:J550),$A$2:$B$996,2,FALSE),"")</f>
        <v/>
      </c>
    </row>
    <row r="551" spans="1:10" x14ac:dyDescent="0.2">
      <c r="A551">
        <f>IF(ISNUMBER(SEARCH(Cover!$H$13,Table1[[#This Row],[School District]])),MAX($A$1:A550)+1,0)</f>
        <v>0</v>
      </c>
      <c r="B551" s="661" t="s">
        <v>1344</v>
      </c>
      <c r="C551" s="1599">
        <v>19022011002</v>
      </c>
      <c r="D551" s="664">
        <v>2</v>
      </c>
      <c r="E551" t="str">
        <f>IF(OR(Table1[[#This Row],[Type]]=0,Table1[[#This Row],[Type]]&gt;=40),"JA","SD")</f>
        <v>SD</v>
      </c>
      <c r="F551" t="s">
        <v>3143</v>
      </c>
      <c r="G551" s="661" t="s">
        <v>2578</v>
      </c>
      <c r="J551" s="653" t="str">
        <f>IFERROR(VLOOKUP(ROWS($J$2:J551),$A$2:$B$996,2,FALSE),"")</f>
        <v/>
      </c>
    </row>
    <row r="552" spans="1:10" x14ac:dyDescent="0.2">
      <c r="A552">
        <f>IF(ISNUMBER(SEARCH(Cover!$H$13,Table1[[#This Row],[School District]])),MAX($A$1:A551)+1,0)</f>
        <v>0</v>
      </c>
      <c r="B552" s="661" t="s">
        <v>1125</v>
      </c>
      <c r="C552" s="1599">
        <v>35050289004</v>
      </c>
      <c r="D552" s="664">
        <v>4</v>
      </c>
      <c r="E552" t="str">
        <f>IF(OR(Table1[[#This Row],[Type]]=0,Table1[[#This Row],[Type]]&gt;=40),"JA","SD")</f>
        <v>SD</v>
      </c>
      <c r="F552" t="s">
        <v>3165</v>
      </c>
      <c r="G552" s="661" t="s">
        <v>2579</v>
      </c>
      <c r="J552" s="653" t="str">
        <f>IFERROR(VLOOKUP(ROWS($J$2:J552),$A$2:$B$996,2,FALSE),"")</f>
        <v/>
      </c>
    </row>
    <row r="553" spans="1:10" x14ac:dyDescent="0.2">
      <c r="A553">
        <f>IF(ISNUMBER(SEARCH(Cover!$H$13,Table1[[#This Row],[School District]])),MAX($A$1:A552)+1,0)</f>
        <v>0</v>
      </c>
      <c r="B553" s="661" t="s">
        <v>1126</v>
      </c>
      <c r="C553" s="1599">
        <v>35050280017</v>
      </c>
      <c r="D553" s="664">
        <v>17</v>
      </c>
      <c r="E553" t="str">
        <f>IF(OR(Table1[[#This Row],[Type]]=0,Table1[[#This Row],[Type]]&gt;=40),"JA","SD")</f>
        <v>SD</v>
      </c>
      <c r="F553" t="s">
        <v>3165</v>
      </c>
      <c r="G553" s="661" t="s">
        <v>2580</v>
      </c>
      <c r="J553" s="653" t="str">
        <f>IFERROR(VLOOKUP(ROWS($J$2:J553),$A$2:$B$996,2,FALSE),"")</f>
        <v/>
      </c>
    </row>
    <row r="554" spans="1:10" x14ac:dyDescent="0.2">
      <c r="A554">
        <f>IF(ISNUMBER(SEARCH(Cover!$H$13,Table1[[#This Row],[School District]])),MAX($A$1:A553)+1,0)</f>
        <v>0</v>
      </c>
      <c r="B554" s="661" t="s">
        <v>1953</v>
      </c>
      <c r="C554" s="1599">
        <v>33066404026</v>
      </c>
      <c r="D554" s="664">
        <v>26</v>
      </c>
      <c r="E554" t="str">
        <f>IF(OR(Table1[[#This Row],[Type]]=0,Table1[[#This Row],[Type]]&gt;=40),"JA","SD")</f>
        <v>SD</v>
      </c>
      <c r="F554" t="s">
        <v>1954</v>
      </c>
      <c r="G554" s="661" t="s">
        <v>2581</v>
      </c>
      <c r="J554" s="653" t="str">
        <f>IFERROR(VLOOKUP(ROWS($J$2:J554),$A$2:$B$996,2,FALSE),"")</f>
        <v/>
      </c>
    </row>
    <row r="555" spans="1:10" x14ac:dyDescent="0.2">
      <c r="A555">
        <f>IF(ISNUMBER(SEARCH(Cover!$H$13,Table1[[#This Row],[School District]])),MAX($A$1:A554)+1,0)</f>
        <v>0</v>
      </c>
      <c r="B555" s="661" t="s">
        <v>1624</v>
      </c>
      <c r="C555" s="1599">
        <v>1069011026</v>
      </c>
      <c r="D555" s="664">
        <v>26</v>
      </c>
      <c r="E555" t="str">
        <f>IF(OR(Table1[[#This Row],[Type]]=0,Table1[[#This Row],[Type]]&gt;=40),"JA","SD")</f>
        <v>SD</v>
      </c>
      <c r="F555" t="s">
        <v>1899</v>
      </c>
      <c r="G555" s="661" t="s">
        <v>2582</v>
      </c>
      <c r="J555" s="653" t="str">
        <f>IFERROR(VLOOKUP(ROWS($J$2:J555),$A$2:$B$996,2,FALSE),"")</f>
        <v/>
      </c>
    </row>
    <row r="556" spans="1:10" ht="15" customHeight="1" x14ac:dyDescent="0.2">
      <c r="A556">
        <f>IF(ISNUMBER(SEARCH(Cover!$H$13,Table1[[#This Row],[School District]])),MAX($A$1:A555)+1,0)</f>
        <v>0</v>
      </c>
      <c r="B556" s="661" t="s">
        <v>1225</v>
      </c>
      <c r="C556" s="1599">
        <v>30077101026</v>
      </c>
      <c r="D556" s="664">
        <v>26</v>
      </c>
      <c r="E556" t="str">
        <f>IF(OR(Table1[[#This Row],[Type]]=0,Table1[[#This Row],[Type]]&gt;=40),"JA","SD")</f>
        <v>SD</v>
      </c>
      <c r="F556" t="s">
        <v>1848</v>
      </c>
      <c r="G556" s="661" t="s">
        <v>2583</v>
      </c>
      <c r="J556" s="653" t="str">
        <f>IFERROR(VLOOKUP(ROWS($J$2:J556),$A$2:$B$996,2,FALSE),"")</f>
        <v/>
      </c>
    </row>
    <row r="557" spans="1:10" x14ac:dyDescent="0.2">
      <c r="A557">
        <f>IF(ISNUMBER(SEARCH(Cover!$H$13,Table1[[#This Row],[School District]])),MAX($A$1:A556)+1,0)</f>
        <v>0</v>
      </c>
      <c r="B557" s="661" t="s">
        <v>1955</v>
      </c>
      <c r="C557" s="1599">
        <v>39055015026</v>
      </c>
      <c r="D557" s="664">
        <v>26</v>
      </c>
      <c r="E557" t="str">
        <f>IF(OR(Table1[[#This Row],[Type]]=0,Table1[[#This Row],[Type]]&gt;=40),"JA","SD")</f>
        <v>SD</v>
      </c>
      <c r="F557" t="s">
        <v>1782</v>
      </c>
      <c r="G557" s="661" t="s">
        <v>2584</v>
      </c>
      <c r="J557" s="653" t="str">
        <f>IFERROR(VLOOKUP(ROWS($J$2:J557),$A$2:$B$996,2,FALSE),"")</f>
        <v/>
      </c>
    </row>
    <row r="558" spans="1:10" ht="15" customHeight="1" x14ac:dyDescent="0.2">
      <c r="A558">
        <f>IF(ISNUMBER(SEARCH(Cover!$H$13,Table1[[#This Row],[School District]])),MAX($A$1:A557)+1,0)</f>
        <v>0</v>
      </c>
      <c r="B558" s="661" t="s">
        <v>1060</v>
      </c>
      <c r="C558" s="1599">
        <v>47071223026</v>
      </c>
      <c r="D558" s="664">
        <v>26</v>
      </c>
      <c r="E558" t="str">
        <f>IF(OR(Table1[[#This Row],[Type]]=0,Table1[[#This Row],[Type]]&gt;=40),"JA","SD")</f>
        <v>SD</v>
      </c>
      <c r="F558" t="s">
        <v>1821</v>
      </c>
      <c r="G558" s="661" t="s">
        <v>2585</v>
      </c>
      <c r="J558" s="653" t="str">
        <f>IFERROR(VLOOKUP(ROWS($J$2:J558),$A$2:$B$996,2,FALSE),"")</f>
        <v/>
      </c>
    </row>
    <row r="559" spans="1:10" ht="15" customHeight="1" x14ac:dyDescent="0.2">
      <c r="A559">
        <f>IF(ISNUMBER(SEARCH(Cover!$H$13,Table1[[#This Row],[School District]])),MAX($A$1:A558)+1,0)</f>
        <v>0</v>
      </c>
      <c r="B559" s="661" t="s">
        <v>971</v>
      </c>
      <c r="C559" s="1599">
        <v>53102001004</v>
      </c>
      <c r="D559" s="664">
        <v>4</v>
      </c>
      <c r="E559" t="str">
        <f>IF(OR(Table1[[#This Row],[Type]]=0,Table1[[#This Row],[Type]]&gt;=40),"JA","SD")</f>
        <v>SD</v>
      </c>
      <c r="F559" t="s">
        <v>1846</v>
      </c>
      <c r="G559" s="661" t="s">
        <v>2586</v>
      </c>
      <c r="J559" s="653" t="str">
        <f>IFERROR(VLOOKUP(ROWS($J$2:J559),$A$2:$B$996,2,FALSE),"")</f>
        <v/>
      </c>
    </row>
    <row r="560" spans="1:10" ht="15" customHeight="1" x14ac:dyDescent="0.2">
      <c r="A560">
        <f>IF(ISNUMBER(SEARCH(Cover!$H$13,Table1[[#This Row],[School District]])),MAX($A$1:A559)+1,0)</f>
        <v>0</v>
      </c>
      <c r="B560" s="661" t="s">
        <v>1122</v>
      </c>
      <c r="C560" s="1599">
        <v>35059007026</v>
      </c>
      <c r="D560" s="664">
        <v>26</v>
      </c>
      <c r="E560" t="str">
        <f>IF(OR(Table1[[#This Row],[Type]]=0,Table1[[#This Row],[Type]]&gt;=40),"JA","SD")</f>
        <v>SD</v>
      </c>
      <c r="F560" t="s">
        <v>1804</v>
      </c>
      <c r="G560" s="661" t="s">
        <v>2587</v>
      </c>
      <c r="J560" s="653" t="str">
        <f>IFERROR(VLOOKUP(ROWS($J$2:J560),$A$2:$B$996,2,FALSE),"")</f>
        <v/>
      </c>
    </row>
    <row r="561" spans="1:10" x14ac:dyDescent="0.2">
      <c r="A561">
        <f>IF(ISNUMBER(SEARCH(Cover!$H$13,Table1[[#This Row],[School District]])),MAX($A$1:A560)+1,0)</f>
        <v>0</v>
      </c>
      <c r="B561" s="661" t="s">
        <v>1503</v>
      </c>
      <c r="C561" s="1599">
        <v>7016143002</v>
      </c>
      <c r="D561" s="664">
        <v>2</v>
      </c>
      <c r="E561" t="str">
        <f>IF(OR(Table1[[#This Row],[Type]]=0,Table1[[#This Row],[Type]]&gt;=40),"JA","SD")</f>
        <v>SD</v>
      </c>
      <c r="F561" t="s">
        <v>1766</v>
      </c>
      <c r="G561" s="661" t="s">
        <v>2588</v>
      </c>
      <c r="J561" s="653" t="str">
        <f>IFERROR(VLOOKUP(ROWS($J$2:J561),$A$2:$B$996,2,FALSE),"")</f>
        <v/>
      </c>
    </row>
    <row r="562" spans="1:10" x14ac:dyDescent="0.2">
      <c r="A562">
        <f>IF(ISNUMBER(SEARCH(Cover!$H$13,Table1[[#This Row],[School District]])),MAX($A$1:A561)+1,0)</f>
        <v>0</v>
      </c>
      <c r="B562" t="s">
        <v>1750</v>
      </c>
      <c r="C562" s="1599">
        <v>3011801060</v>
      </c>
      <c r="D562" s="664">
        <v>60</v>
      </c>
      <c r="E562" t="str">
        <f>IF(OR(Table1[[#This Row],[Type]]=0,Table1[[#This Row],[Type]]&gt;=40),"JA","SD")</f>
        <v>JA</v>
      </c>
      <c r="F562" t="s">
        <v>1889</v>
      </c>
      <c r="G562" s="661" t="s">
        <v>2589</v>
      </c>
      <c r="J562" s="653" t="str">
        <f>IFERROR(VLOOKUP(ROWS($J$2:J562),$A$2:$B$996,2,FALSE),"")</f>
        <v/>
      </c>
    </row>
    <row r="563" spans="1:10" x14ac:dyDescent="0.2">
      <c r="A563">
        <f>IF(ISNUMBER(SEARCH(Cover!$H$13,Table1[[#This Row],[School District]])),MAX($A$1:A562)+1,0)</f>
        <v>0</v>
      </c>
      <c r="B563" t="s">
        <v>1741</v>
      </c>
      <c r="C563" s="1599">
        <v>31045303061</v>
      </c>
      <c r="D563" s="664">
        <v>61</v>
      </c>
      <c r="E563" t="str">
        <f>IF(OR(Table1[[#This Row],[Type]]=0,Table1[[#This Row],[Type]]&gt;=40),"JA","SD")</f>
        <v>JA</v>
      </c>
      <c r="F563" t="s">
        <v>1789</v>
      </c>
      <c r="G563" s="661" t="s">
        <v>2590</v>
      </c>
      <c r="J563" s="653" t="str">
        <f>IFERROR(VLOOKUP(ROWS($J$2:J563),$A$2:$B$996,2,FALSE),"")</f>
        <v/>
      </c>
    </row>
    <row r="564" spans="1:10" x14ac:dyDescent="0.2">
      <c r="A564">
        <f>IF(ISNUMBER(SEARCH(Cover!$H$13,Table1[[#This Row],[School District]])),MAX($A$1:A563)+1,0)</f>
        <v>0</v>
      </c>
      <c r="B564" s="661" t="s">
        <v>988</v>
      </c>
      <c r="C564" s="1599">
        <v>53060191026</v>
      </c>
      <c r="D564" s="664">
        <v>26</v>
      </c>
      <c r="E564" t="str">
        <f>IF(OR(Table1[[#This Row],[Type]]=0,Table1[[#This Row],[Type]]&gt;=40),"JA","SD")</f>
        <v>SD</v>
      </c>
      <c r="F564" t="s">
        <v>3270</v>
      </c>
      <c r="G564" s="661" t="s">
        <v>2591</v>
      </c>
      <c r="J564" s="653" t="str">
        <f>IFERROR(VLOOKUP(ROWS($J$2:J564),$A$2:$B$996,2,FALSE),"")</f>
        <v/>
      </c>
    </row>
    <row r="565" spans="1:10" x14ac:dyDescent="0.2">
      <c r="A565">
        <f>IF(ISNUMBER(SEARCH(Cover!$H$13,Table1[[#This Row],[School District]])),MAX($A$1:A564)+1,0)</f>
        <v>0</v>
      </c>
      <c r="B565" s="661" t="s">
        <v>1956</v>
      </c>
      <c r="C565" s="1599">
        <v>32038124026</v>
      </c>
      <c r="D565" s="664">
        <v>26</v>
      </c>
      <c r="E565" t="str">
        <f>IF(OR(Table1[[#This Row],[Type]]=0,Table1[[#This Row],[Type]]&gt;=40),"JA","SD")</f>
        <v>SD</v>
      </c>
      <c r="F565" t="s">
        <v>1844</v>
      </c>
      <c r="G565" s="661" t="s">
        <v>2592</v>
      </c>
      <c r="J565" s="653" t="str">
        <f>IFERROR(VLOOKUP(ROWS($J$2:J565),$A$2:$B$996,2,FALSE),"")</f>
        <v/>
      </c>
    </row>
    <row r="566" spans="1:10" x14ac:dyDescent="0.2">
      <c r="A566">
        <f>IF(ISNUMBER(SEARCH(Cover!$H$13,Table1[[#This Row],[School District]])),MAX($A$1:A565)+1,0)</f>
        <v>0</v>
      </c>
      <c r="B566" s="661" t="s">
        <v>1186</v>
      </c>
      <c r="C566" s="1599">
        <v>34049024004</v>
      </c>
      <c r="D566" s="664">
        <v>4</v>
      </c>
      <c r="E566" t="str">
        <f>IF(OR(Table1[[#This Row],[Type]]=0,Table1[[#This Row],[Type]]&gt;=40),"JA","SD")</f>
        <v>SD</v>
      </c>
      <c r="F566" t="s">
        <v>1765</v>
      </c>
      <c r="G566" s="661" t="s">
        <v>2593</v>
      </c>
      <c r="J566" s="653" t="str">
        <f>IFERROR(VLOOKUP(ROWS($J$2:J566),$A$2:$B$996,2,FALSE),"")</f>
        <v/>
      </c>
    </row>
    <row r="567" spans="1:10" x14ac:dyDescent="0.2">
      <c r="A567">
        <f>IF(ISNUMBER(SEARCH(Cover!$H$13,Table1[[#This Row],[School District]])),MAX($A$1:A566)+1,0)</f>
        <v>0</v>
      </c>
      <c r="B567" s="661" t="s">
        <v>1957</v>
      </c>
      <c r="C567" s="1599">
        <v>35050210004</v>
      </c>
      <c r="D567" s="664">
        <v>4</v>
      </c>
      <c r="E567" t="str">
        <f>IF(OR(Table1[[#This Row],[Type]]=0,Table1[[#This Row],[Type]]&gt;=40),"JA","SD")</f>
        <v>SD</v>
      </c>
      <c r="F567" t="s">
        <v>3201</v>
      </c>
      <c r="G567" s="661" t="s">
        <v>2594</v>
      </c>
      <c r="J567" s="653" t="str">
        <f>IFERROR(VLOOKUP(ROWS($J$2:J567),$A$2:$B$996,2,FALSE),"")</f>
        <v/>
      </c>
    </row>
    <row r="568" spans="1:10" x14ac:dyDescent="0.2">
      <c r="A568">
        <f>IF(ISNUMBER(SEARCH(Cover!$H$13,Table1[[#This Row],[School District]])),MAX($A$1:A567)+1,0)</f>
        <v>0</v>
      </c>
      <c r="B568" s="661" t="s">
        <v>1009</v>
      </c>
      <c r="C568" s="1599">
        <v>50082160004</v>
      </c>
      <c r="D568" s="664">
        <v>4</v>
      </c>
      <c r="E568" t="str">
        <f>IF(OR(Table1[[#This Row],[Type]]=0,Table1[[#This Row],[Type]]&gt;=40),"JA","SD")</f>
        <v>SD</v>
      </c>
      <c r="F568" t="s">
        <v>3134</v>
      </c>
      <c r="G568" s="661" t="s">
        <v>2595</v>
      </c>
      <c r="J568" s="653" t="str">
        <f>IFERROR(VLOOKUP(ROWS($J$2:J568),$A$2:$B$996,2,FALSE),"")</f>
        <v/>
      </c>
    </row>
    <row r="569" spans="1:10" x14ac:dyDescent="0.2">
      <c r="A569">
        <f>IF(ISNUMBER(SEARCH(Cover!$H$13,Table1[[#This Row],[School District]])),MAX($A$1:A568)+1,0)</f>
        <v>0</v>
      </c>
      <c r="B569" s="661" t="s">
        <v>1274</v>
      </c>
      <c r="C569" s="1599">
        <v>24032201004</v>
      </c>
      <c r="D569" s="664">
        <v>4</v>
      </c>
      <c r="E569" t="str">
        <f>IF(OR(Table1[[#This Row],[Type]]=0,Table1[[#This Row],[Type]]&gt;=40),"JA","SD")</f>
        <v>SD</v>
      </c>
      <c r="F569" t="s">
        <v>3202</v>
      </c>
      <c r="G569" s="661" t="s">
        <v>2596</v>
      </c>
      <c r="J569" s="653" t="str">
        <f>IFERROR(VLOOKUP(ROWS($J$2:J569),$A$2:$B$996,2,FALSE),"")</f>
        <v/>
      </c>
    </row>
    <row r="570" spans="1:10" x14ac:dyDescent="0.2">
      <c r="A570">
        <f>IF(ISNUMBER(SEARCH(Cover!$H$13,Table1[[#This Row],[School District]])),MAX($A$1:A569)+1,0)</f>
        <v>0</v>
      </c>
      <c r="B570" s="661" t="s">
        <v>1275</v>
      </c>
      <c r="C570" s="1599">
        <v>24032111016</v>
      </c>
      <c r="D570" s="664">
        <v>16</v>
      </c>
      <c r="E570" t="str">
        <f>IF(OR(Table1[[#This Row],[Type]]=0,Table1[[#This Row],[Type]]&gt;=40),"JA","SD")</f>
        <v>SD</v>
      </c>
      <c r="F570" t="s">
        <v>1809</v>
      </c>
      <c r="G570" s="661" t="s">
        <v>2597</v>
      </c>
      <c r="J570" s="653" t="str">
        <f>IFERROR(VLOOKUP(ROWS($J$2:J570),$A$2:$B$996,2,FALSE),"")</f>
        <v/>
      </c>
    </row>
    <row r="571" spans="1:10" x14ac:dyDescent="0.2">
      <c r="A571">
        <f>IF(ISNUMBER(SEARCH(Cover!$H$13,Table1[[#This Row],[School District]])),MAX($A$1:A570)+1,0)</f>
        <v>0</v>
      </c>
      <c r="B571" s="661" t="s">
        <v>947</v>
      </c>
      <c r="C571" s="1599">
        <v>56099159002</v>
      </c>
      <c r="D571" s="664">
        <v>2</v>
      </c>
      <c r="E571" t="str">
        <f>IF(OR(Table1[[#This Row],[Type]]=0,Table1[[#This Row],[Type]]&gt;=40),"JA","SD")</f>
        <v>SD</v>
      </c>
      <c r="F571" t="s">
        <v>1793</v>
      </c>
      <c r="G571" s="661" t="s">
        <v>2598</v>
      </c>
      <c r="J571" s="653" t="str">
        <f>IFERROR(VLOOKUP(ROWS($J$2:J571),$A$2:$B$996,2,FALSE),"")</f>
        <v/>
      </c>
    </row>
    <row r="572" spans="1:10" x14ac:dyDescent="0.2">
      <c r="A572">
        <f>IF(ISNUMBER(SEARCH(Cover!$H$13,Table1[[#This Row],[School District]])),MAX($A$1:A571)+1,0)</f>
        <v>0</v>
      </c>
      <c r="B572" s="661" t="s">
        <v>1029</v>
      </c>
      <c r="C572" s="1599">
        <v>49081040022</v>
      </c>
      <c r="D572" s="664">
        <v>22</v>
      </c>
      <c r="E572" t="str">
        <f>IF(OR(Table1[[#This Row],[Type]]=0,Table1[[#This Row],[Type]]&gt;=40),"JA","SD")</f>
        <v>SD</v>
      </c>
      <c r="F572" t="s">
        <v>1800</v>
      </c>
      <c r="G572" s="661" t="s">
        <v>2599</v>
      </c>
      <c r="J572" s="653" t="str">
        <f>IFERROR(VLOOKUP(ROWS($J$2:J572),$A$2:$B$996,2,FALSE),"")</f>
        <v/>
      </c>
    </row>
    <row r="573" spans="1:10" x14ac:dyDescent="0.2">
      <c r="A573">
        <f>IF(ISNUMBER(SEARCH(Cover!$H$13,Table1[[#This Row],[School District]])),MAX($A$1:A572)+1,0)</f>
        <v>0</v>
      </c>
      <c r="B573" s="661" t="s">
        <v>1206</v>
      </c>
      <c r="C573" s="1599">
        <v>32046001026</v>
      </c>
      <c r="D573" s="664">
        <v>26</v>
      </c>
      <c r="E573" t="str">
        <f>IF(OR(Table1[[#This Row],[Type]]=0,Table1[[#This Row],[Type]]&gt;=40),"JA","SD")</f>
        <v>SD</v>
      </c>
      <c r="F573" t="s">
        <v>1808</v>
      </c>
      <c r="G573" s="661" t="s">
        <v>2600</v>
      </c>
      <c r="J573" s="653" t="str">
        <f>IFERROR(VLOOKUP(ROWS($J$2:J573),$A$2:$B$996,2,FALSE),"")</f>
        <v/>
      </c>
    </row>
    <row r="574" spans="1:10" ht="15" customHeight="1" x14ac:dyDescent="0.2">
      <c r="A574">
        <f>IF(ISNUMBER(SEARCH(Cover!$H$13,Table1[[#This Row],[School District]])),MAX($A$1:A573)+1,0)</f>
        <v>0</v>
      </c>
      <c r="B574" s="661" t="s">
        <v>1190</v>
      </c>
      <c r="C574" s="1599">
        <v>33094238026</v>
      </c>
      <c r="D574" s="664">
        <v>26</v>
      </c>
      <c r="E574" t="str">
        <f>IF(OR(Table1[[#This Row],[Type]]=0,Table1[[#This Row],[Type]]&gt;=40),"JA","SD")</f>
        <v>SD</v>
      </c>
      <c r="F574" t="s">
        <v>1878</v>
      </c>
      <c r="G574" s="661" t="s">
        <v>2601</v>
      </c>
      <c r="J574" s="653" t="str">
        <f>IFERROR(VLOOKUP(ROWS($J$2:J574),$A$2:$B$996,2,FALSE),"")</f>
        <v/>
      </c>
    </row>
    <row r="575" spans="1:10" x14ac:dyDescent="0.2">
      <c r="A575">
        <f>IF(ISNUMBER(SEARCH(Cover!$H$13,Table1[[#This Row],[School District]])),MAX($A$1:A574)+1,0)</f>
        <v>0</v>
      </c>
      <c r="B575" s="661" t="s">
        <v>1045</v>
      </c>
      <c r="C575" s="1599">
        <v>48072070002</v>
      </c>
      <c r="D575" s="664">
        <v>2</v>
      </c>
      <c r="E575" t="str">
        <f>IF(OR(Table1[[#This Row],[Type]]=0,Table1[[#This Row],[Type]]&gt;=40),"JA","SD")</f>
        <v>SD</v>
      </c>
      <c r="F575" t="s">
        <v>1790</v>
      </c>
      <c r="G575" s="661" t="s">
        <v>2602</v>
      </c>
      <c r="J575" s="653" t="str">
        <f>IFERROR(VLOOKUP(ROWS($J$2:J575),$A$2:$B$996,2,FALSE),"")</f>
        <v/>
      </c>
    </row>
    <row r="576" spans="1:10" x14ac:dyDescent="0.2">
      <c r="A576">
        <f>IF(ISNUMBER(SEARCH(Cover!$H$13,Table1[[#This Row],[School District]])),MAX($A$1:A575)+1,0)</f>
        <v>0</v>
      </c>
      <c r="B576" s="661" t="s">
        <v>1118</v>
      </c>
      <c r="C576" s="1599">
        <v>39074025026</v>
      </c>
      <c r="D576" s="664">
        <v>26</v>
      </c>
      <c r="E576" t="str">
        <f>IF(OR(Table1[[#This Row],[Type]]=0,Table1[[#This Row],[Type]]&gt;=40),"JA","SD")</f>
        <v>SD</v>
      </c>
      <c r="F576" t="s">
        <v>1795</v>
      </c>
      <c r="G576" s="661" t="s">
        <v>2603</v>
      </c>
      <c r="J576" s="653" t="str">
        <f>IFERROR(VLOOKUP(ROWS($J$2:J576),$A$2:$B$996,2,FALSE),"")</f>
        <v/>
      </c>
    </row>
    <row r="577" spans="1:10" x14ac:dyDescent="0.2">
      <c r="A577">
        <f>IF(ISNUMBER(SEARCH(Cover!$H$13,Table1[[#This Row],[School District]])),MAX($A$1:A576)+1,0)</f>
        <v>0</v>
      </c>
      <c r="B577" s="661" t="s">
        <v>1051</v>
      </c>
      <c r="C577" s="1599">
        <v>47098145004</v>
      </c>
      <c r="D577" s="664">
        <v>4</v>
      </c>
      <c r="E577" t="str">
        <f>IF(OR(Table1[[#This Row],[Type]]=0,Table1[[#This Row],[Type]]&gt;=40),"JA","SD")</f>
        <v>SD</v>
      </c>
      <c r="F577" t="s">
        <v>1798</v>
      </c>
      <c r="G577" s="661" t="s">
        <v>2604</v>
      </c>
      <c r="J577" s="653" t="str">
        <f>IFERROR(VLOOKUP(ROWS($J$2:J577),$A$2:$B$996,2,FALSE),"")</f>
        <v/>
      </c>
    </row>
    <row r="578" spans="1:10" x14ac:dyDescent="0.2">
      <c r="A578">
        <f>IF(ISNUMBER(SEARCH(Cover!$H$13,Table1[[#This Row],[School District]])),MAX($A$1:A577)+1,0)</f>
        <v>0</v>
      </c>
      <c r="B578" t="s">
        <v>1650</v>
      </c>
      <c r="C578" s="1599">
        <v>7016218046</v>
      </c>
      <c r="D578" s="664">
        <v>46</v>
      </c>
      <c r="E578" t="str">
        <f>IF(OR(Table1[[#This Row],[Type]]=0,Table1[[#This Row],[Type]]&gt;=40),"JA","SD")</f>
        <v>JA</v>
      </c>
      <c r="F578" t="s">
        <v>1766</v>
      </c>
      <c r="G578" s="661" t="s">
        <v>2605</v>
      </c>
      <c r="J578" s="653" t="str">
        <f>IFERROR(VLOOKUP(ROWS($J$2:J578),$A$2:$B$996,2,FALSE),"")</f>
        <v/>
      </c>
    </row>
    <row r="579" spans="1:10" x14ac:dyDescent="0.2">
      <c r="A579">
        <f>IF(ISNUMBER(SEARCH(Cover!$H$13,Table1[[#This Row],[School District]])),MAX($A$1:A578)+1,0)</f>
        <v>0</v>
      </c>
      <c r="B579" s="661" t="s">
        <v>1276</v>
      </c>
      <c r="C579" s="1599">
        <v>24032101016</v>
      </c>
      <c r="D579" s="664">
        <v>16</v>
      </c>
      <c r="E579" t="str">
        <f>IF(OR(Table1[[#This Row],[Type]]=0,Table1[[#This Row],[Type]]&gt;=40),"JA","SD")</f>
        <v>SD</v>
      </c>
      <c r="F579" t="s">
        <v>1809</v>
      </c>
      <c r="G579" s="661" t="s">
        <v>2606</v>
      </c>
      <c r="J579" s="653" t="str">
        <f>IFERROR(VLOOKUP(ROWS($J$2:J579),$A$2:$B$996,2,FALSE),"")</f>
        <v/>
      </c>
    </row>
    <row r="580" spans="1:10" x14ac:dyDescent="0.2">
      <c r="A580">
        <f>IF(ISNUMBER(SEARCH(Cover!$H$13,Table1[[#This Row],[School District]])),MAX($A$1:A579)+1,0)</f>
        <v>0</v>
      </c>
      <c r="B580" s="661" t="s">
        <v>1279</v>
      </c>
      <c r="C580" s="1599">
        <v>24032054002</v>
      </c>
      <c r="D580" s="664">
        <v>2</v>
      </c>
      <c r="E580" t="str">
        <f>IF(OR(Table1[[#This Row],[Type]]=0,Table1[[#This Row],[Type]]&gt;=40),"JA","SD")</f>
        <v>SD</v>
      </c>
      <c r="F580" t="s">
        <v>1809</v>
      </c>
      <c r="G580" s="661" t="s">
        <v>2607</v>
      </c>
      <c r="J580" s="653" t="str">
        <f>IFERROR(VLOOKUP(ROWS($J$2:J580),$A$2:$B$996,2,FALSE),"")</f>
        <v/>
      </c>
    </row>
    <row r="581" spans="1:10" x14ac:dyDescent="0.2">
      <c r="A581">
        <f>IF(ISNUMBER(SEARCH(Cover!$H$13,Table1[[#This Row],[School District]])),MAX($A$1:A580)+1,0)</f>
        <v>0</v>
      </c>
      <c r="B581" s="661" t="s">
        <v>1053</v>
      </c>
      <c r="C581" s="1599">
        <v>47098006026</v>
      </c>
      <c r="D581" s="664">
        <v>26</v>
      </c>
      <c r="E581" t="str">
        <f>IF(OR(Table1[[#This Row],[Type]]=0,Table1[[#This Row],[Type]]&gt;=40),"JA","SD")</f>
        <v>SD</v>
      </c>
      <c r="F581" t="s">
        <v>1798</v>
      </c>
      <c r="G581" s="661" t="s">
        <v>2608</v>
      </c>
      <c r="J581" s="653" t="str">
        <f>IFERROR(VLOOKUP(ROWS($J$2:J581),$A$2:$B$996,2,FALSE),"")</f>
        <v/>
      </c>
    </row>
    <row r="582" spans="1:10" x14ac:dyDescent="0.2">
      <c r="A582">
        <f>IF(ISNUMBER(SEARCH(Cover!$H$13,Table1[[#This Row],[School District]])),MAX($A$1:A581)+1,0)</f>
        <v>0</v>
      </c>
      <c r="B582" s="661" t="s">
        <v>1615</v>
      </c>
      <c r="C582" s="1599">
        <v>3011001026</v>
      </c>
      <c r="D582" s="664">
        <v>26</v>
      </c>
      <c r="E582" t="str">
        <f>IF(OR(Table1[[#This Row],[Type]]=0,Table1[[#This Row],[Type]]&gt;=40),"JA","SD")</f>
        <v>SD</v>
      </c>
      <c r="F582" t="s">
        <v>3203</v>
      </c>
      <c r="G582" s="661" t="s">
        <v>2609</v>
      </c>
      <c r="J582" s="653" t="str">
        <f>IFERROR(VLOOKUP(ROWS($J$2:J582),$A$2:$B$996,2,FALSE),"")</f>
        <v/>
      </c>
    </row>
    <row r="583" spans="1:10" x14ac:dyDescent="0.2">
      <c r="A583">
        <f>IF(ISNUMBER(SEARCH(Cover!$H$13,Table1[[#This Row],[School District]])),MAX($A$1:A582)+1,0)</f>
        <v>0</v>
      </c>
      <c r="B583" s="661" t="s">
        <v>972</v>
      </c>
      <c r="C583" s="1599">
        <v>53090709026</v>
      </c>
      <c r="D583" s="664">
        <v>26</v>
      </c>
      <c r="E583" t="str">
        <f>IF(OR(Table1[[#This Row],[Type]]=0,Table1[[#This Row],[Type]]&gt;=40),"JA","SD")</f>
        <v>SD</v>
      </c>
      <c r="F583" t="s">
        <v>1847</v>
      </c>
      <c r="G583" s="661" t="s">
        <v>2610</v>
      </c>
      <c r="J583" s="653" t="str">
        <f>IFERROR(VLOOKUP(ROWS($J$2:J583),$A$2:$B$996,2,FALSE),"")</f>
        <v/>
      </c>
    </row>
    <row r="584" spans="1:10" ht="15" customHeight="1" x14ac:dyDescent="0.2">
      <c r="A584">
        <f>IF(ISNUMBER(SEARCH(Cover!$H$13,Table1[[#This Row],[School District]])),MAX($A$1:A583)+1,0)</f>
        <v>0</v>
      </c>
      <c r="B584" s="661" t="s">
        <v>1564</v>
      </c>
      <c r="C584" s="1599">
        <v>5016070002</v>
      </c>
      <c r="D584" s="664">
        <v>2</v>
      </c>
      <c r="E584" t="str">
        <f>IF(OR(Table1[[#This Row],[Type]]=0,Table1[[#This Row],[Type]]&gt;=40),"JA","SD")</f>
        <v>SD</v>
      </c>
      <c r="F584" t="s">
        <v>1766</v>
      </c>
      <c r="G584" s="661" t="s">
        <v>2611</v>
      </c>
      <c r="J584" s="653" t="str">
        <f>IFERROR(VLOOKUP(ROWS($J$2:J584),$A$2:$B$996,2,FALSE),"")</f>
        <v/>
      </c>
    </row>
    <row r="585" spans="1:10" x14ac:dyDescent="0.2">
      <c r="A585">
        <f>IF(ISNUMBER(SEARCH(Cover!$H$13,Table1[[#This Row],[School District]])),MAX($A$1:A584)+1,0)</f>
        <v>0</v>
      </c>
      <c r="B585" s="661" t="s">
        <v>1958</v>
      </c>
      <c r="C585" s="1599">
        <v>40056005026</v>
      </c>
      <c r="D585" s="664">
        <v>26</v>
      </c>
      <c r="E585" t="str">
        <f>IF(OR(Table1[[#This Row],[Type]]=0,Table1[[#This Row],[Type]]&gt;=40),"JA","SD")</f>
        <v>SD</v>
      </c>
      <c r="F585" t="s">
        <v>3204</v>
      </c>
      <c r="G585" s="661" t="s">
        <v>2612</v>
      </c>
      <c r="J585" s="653" t="str">
        <f>IFERROR(VLOOKUP(ROWS($J$2:J585),$A$2:$B$996,2,FALSE),"")</f>
        <v/>
      </c>
    </row>
    <row r="586" spans="1:10" x14ac:dyDescent="0.2">
      <c r="A586">
        <f>IF(ISNUMBER(SEARCH(Cover!$H$13,Table1[[#This Row],[School District]])),MAX($A$1:A585)+1,0)</f>
        <v>0</v>
      </c>
      <c r="B586" s="661" t="s">
        <v>1959</v>
      </c>
      <c r="C586" s="1599">
        <v>5016057002</v>
      </c>
      <c r="D586" s="664">
        <v>2</v>
      </c>
      <c r="E586" t="str">
        <f>IF(OR(Table1[[#This Row],[Type]]=0,Table1[[#This Row],[Type]]&gt;=40),"JA","SD")</f>
        <v>SD</v>
      </c>
      <c r="F586" t="s">
        <v>1766</v>
      </c>
      <c r="G586" s="661" t="s">
        <v>2613</v>
      </c>
      <c r="J586" s="653" t="str">
        <f>IFERROR(VLOOKUP(ROWS($J$2:J586),$A$2:$B$996,2,FALSE),"")</f>
        <v/>
      </c>
    </row>
    <row r="587" spans="1:10" x14ac:dyDescent="0.2">
      <c r="A587">
        <f>IF(ISNUMBER(SEARCH(Cover!$H$13,Table1[[#This Row],[School District]])),MAX($A$1:A586)+1,0)</f>
        <v>0</v>
      </c>
      <c r="B587" s="661" t="s">
        <v>1960</v>
      </c>
      <c r="C587" s="1599">
        <v>13041080002</v>
      </c>
      <c r="D587" s="664">
        <v>2</v>
      </c>
      <c r="E587" t="str">
        <f>IF(OR(Table1[[#This Row],[Type]]=0,Table1[[#This Row],[Type]]&gt;=40),"JA","SD")</f>
        <v>SD</v>
      </c>
      <c r="F587" t="s">
        <v>1797</v>
      </c>
      <c r="G587" s="661" t="s">
        <v>2614</v>
      </c>
      <c r="J587" s="653" t="str">
        <f>IFERROR(VLOOKUP(ROWS($J$2:J587),$A$2:$B$996,2,FALSE),"")</f>
        <v/>
      </c>
    </row>
    <row r="588" spans="1:10" x14ac:dyDescent="0.2">
      <c r="A588">
        <f>IF(ISNUMBER(SEARCH(Cover!$H$13,Table1[[#This Row],[School District]])),MAX($A$1:A587)+1,0)</f>
        <v>0</v>
      </c>
      <c r="B588" s="661" t="s">
        <v>1359</v>
      </c>
      <c r="C588" s="1599">
        <v>17054023026</v>
      </c>
      <c r="D588" s="664">
        <v>26</v>
      </c>
      <c r="E588" t="str">
        <f>IF(OR(Table1[[#This Row],[Type]]=0,Table1[[#This Row],[Type]]&gt;=40),"JA","SD")</f>
        <v>SD</v>
      </c>
      <c r="F588" t="s">
        <v>1856</v>
      </c>
      <c r="G588" s="661" t="s">
        <v>2615</v>
      </c>
      <c r="J588" s="653" t="str">
        <f>IFERROR(VLOOKUP(ROWS($J$2:J588),$A$2:$B$996,2,FALSE),"")</f>
        <v/>
      </c>
    </row>
    <row r="589" spans="1:10" x14ac:dyDescent="0.2">
      <c r="A589">
        <f>IF(ISNUMBER(SEARCH(Cover!$H$13,Table1[[#This Row],[School District]])),MAX($A$1:A588)+1,0)</f>
        <v>0</v>
      </c>
      <c r="B589" t="s">
        <v>1961</v>
      </c>
      <c r="C589" s="1599">
        <v>13000000041</v>
      </c>
      <c r="D589" s="664">
        <v>41</v>
      </c>
      <c r="E589" t="str">
        <f>IF(OR(Table1[[#This Row],[Type]]=0,Table1[[#This Row],[Type]]&gt;=40),"JA","SD")</f>
        <v>JA</v>
      </c>
      <c r="F589" t="s">
        <v>1797</v>
      </c>
      <c r="G589" s="661" t="s">
        <v>2616</v>
      </c>
      <c r="J589" s="653" t="str">
        <f>IFERROR(VLOOKUP(ROWS($J$2:J589),$A$2:$B$996,2,FALSE),"")</f>
        <v/>
      </c>
    </row>
    <row r="590" spans="1:10" x14ac:dyDescent="0.2">
      <c r="A590">
        <f>IF(ISNUMBER(SEARCH(Cover!$H$13,Table1[[#This Row],[School District]])),MAX($A$1:A589)+1,0)</f>
        <v>0</v>
      </c>
      <c r="B590" s="661" t="s">
        <v>1395</v>
      </c>
      <c r="C590" s="1599">
        <v>13041201017</v>
      </c>
      <c r="D590" s="664">
        <v>17</v>
      </c>
      <c r="E590" t="str">
        <f>IF(OR(Table1[[#This Row],[Type]]=0,Table1[[#This Row],[Type]]&gt;=40),"JA","SD")</f>
        <v>SD</v>
      </c>
      <c r="F590" t="s">
        <v>1797</v>
      </c>
      <c r="G590" s="661" t="s">
        <v>2617</v>
      </c>
      <c r="J590" s="653" t="str">
        <f>IFERROR(VLOOKUP(ROWS($J$2:J590),$A$2:$B$996,2,FALSE),"")</f>
        <v/>
      </c>
    </row>
    <row r="591" spans="1:10" x14ac:dyDescent="0.2">
      <c r="A591">
        <f>IF(ISNUMBER(SEARCH(Cover!$H$13,Table1[[#This Row],[School District]])),MAX($A$1:A590)+1,0)</f>
        <v>0</v>
      </c>
      <c r="B591" s="661" t="s">
        <v>1121</v>
      </c>
      <c r="C591" s="1599">
        <v>39055003026</v>
      </c>
      <c r="D591" s="664">
        <v>26</v>
      </c>
      <c r="E591" t="str">
        <f>IF(OR(Table1[[#This Row],[Type]]=0,Table1[[#This Row],[Type]]&gt;=40),"JA","SD")</f>
        <v>SD</v>
      </c>
      <c r="F591" t="s">
        <v>1782</v>
      </c>
      <c r="G591" s="661" t="s">
        <v>2618</v>
      </c>
      <c r="J591" s="653" t="str">
        <f>IFERROR(VLOOKUP(ROWS($J$2:J591),$A$2:$B$996,2,FALSE),"")</f>
        <v/>
      </c>
    </row>
    <row r="592" spans="1:10" x14ac:dyDescent="0.2">
      <c r="A592">
        <f>IF(ISNUMBER(SEARCH(Cover!$H$13,Table1[[#This Row],[School District]])),MAX($A$1:A591)+1,0)</f>
        <v>0</v>
      </c>
      <c r="B592" s="661" t="s">
        <v>1616</v>
      </c>
      <c r="C592" s="1599">
        <v>3003001026</v>
      </c>
      <c r="D592" s="664">
        <v>26</v>
      </c>
      <c r="E592" t="str">
        <f>IF(OR(Table1[[#This Row],[Type]]=0,Table1[[#This Row],[Type]]&gt;=40),"JA","SD")</f>
        <v>SD</v>
      </c>
      <c r="F592" t="s">
        <v>1806</v>
      </c>
      <c r="G592" s="661" t="s">
        <v>2619</v>
      </c>
      <c r="J592" s="653" t="str">
        <f>IFERROR(VLOOKUP(ROWS($J$2:J592),$A$2:$B$996,2,FALSE),"")</f>
        <v/>
      </c>
    </row>
    <row r="593" spans="1:10" x14ac:dyDescent="0.2">
      <c r="A593">
        <f>IF(ISNUMBER(SEARCH(Cover!$H$13,Table1[[#This Row],[School District]])),MAX($A$1:A592)+1,0)</f>
        <v>0</v>
      </c>
      <c r="B593" s="661" t="s">
        <v>1962</v>
      </c>
      <c r="C593" s="1599">
        <v>34049120013</v>
      </c>
      <c r="D593" s="664">
        <v>13</v>
      </c>
      <c r="E593" t="str">
        <f>IF(OR(Table1[[#This Row],[Type]]=0,Table1[[#This Row],[Type]]&gt;=40),"JA","SD")</f>
        <v>SD</v>
      </c>
      <c r="F593" t="s">
        <v>1765</v>
      </c>
      <c r="G593" s="661" t="s">
        <v>2620</v>
      </c>
      <c r="J593" s="653" t="str">
        <f>IFERROR(VLOOKUP(ROWS($J$2:J593),$A$2:$B$996,2,FALSE),"")</f>
        <v/>
      </c>
    </row>
    <row r="594" spans="1:10" x14ac:dyDescent="0.2">
      <c r="A594">
        <f>IF(ISNUMBER(SEARCH(Cover!$H$13,Table1[[#This Row],[School District]])),MAX($A$1:A593)+1,0)</f>
        <v>0</v>
      </c>
      <c r="B594" s="661" t="s">
        <v>1170</v>
      </c>
      <c r="C594" s="1599">
        <v>34049075002</v>
      </c>
      <c r="D594" s="664">
        <v>2</v>
      </c>
      <c r="E594" t="str">
        <f>IF(OR(Table1[[#This Row],[Type]]=0,Table1[[#This Row],[Type]]&gt;=40),"JA","SD")</f>
        <v>SD</v>
      </c>
      <c r="F594" t="s">
        <v>1765</v>
      </c>
      <c r="G594" s="661" t="s">
        <v>2621</v>
      </c>
      <c r="J594" s="653" t="str">
        <f>IFERROR(VLOOKUP(ROWS($J$2:J594),$A$2:$B$996,2,FALSE),"")</f>
        <v/>
      </c>
    </row>
    <row r="595" spans="1:10" x14ac:dyDescent="0.2">
      <c r="A595">
        <f>IF(ISNUMBER(SEARCH(Cover!$H$13,Table1[[#This Row],[School District]])),MAX($A$1:A594)+1,0)</f>
        <v>0</v>
      </c>
      <c r="B595" s="661" t="s">
        <v>1230</v>
      </c>
      <c r="C595" s="1599">
        <v>30039186026</v>
      </c>
      <c r="D595" s="664">
        <v>26</v>
      </c>
      <c r="E595" t="str">
        <f>IF(OR(Table1[[#This Row],[Type]]=0,Table1[[#This Row],[Type]]&gt;=40),"JA","SD")</f>
        <v>SD</v>
      </c>
      <c r="F595" t="s">
        <v>1824</v>
      </c>
      <c r="G595" s="661" t="s">
        <v>2622</v>
      </c>
      <c r="J595" s="653" t="str">
        <f>IFERROR(VLOOKUP(ROWS($J$2:J595),$A$2:$B$996,2,FALSE),"")</f>
        <v/>
      </c>
    </row>
    <row r="596" spans="1:10" x14ac:dyDescent="0.2">
      <c r="A596">
        <f>IF(ISNUMBER(SEARCH(Cover!$H$13,Table1[[#This Row],[School District]])),MAX($A$1:A595)+1,0)</f>
        <v>0</v>
      </c>
      <c r="B596" s="661" t="s">
        <v>1963</v>
      </c>
      <c r="C596" s="1599">
        <v>53090102002</v>
      </c>
      <c r="D596" s="664">
        <v>2</v>
      </c>
      <c r="E596" t="str">
        <f>IF(OR(Table1[[#This Row],[Type]]=0,Table1[[#This Row],[Type]]&gt;=40),"JA","SD")</f>
        <v>SD</v>
      </c>
      <c r="F596" t="s">
        <v>1847</v>
      </c>
      <c r="G596" s="661" t="s">
        <v>2623</v>
      </c>
      <c r="J596" s="653" t="str">
        <f>IFERROR(VLOOKUP(ROWS($J$2:J596),$A$2:$B$996,2,FALSE),"")</f>
        <v/>
      </c>
    </row>
    <row r="597" spans="1:10" x14ac:dyDescent="0.2">
      <c r="A597">
        <f>IF(ISNUMBER(SEARCH(Cover!$H$13,Table1[[#This Row],[School District]])),MAX($A$1:A596)+1,0)</f>
        <v>0</v>
      </c>
      <c r="B597" s="661" t="s">
        <v>1316</v>
      </c>
      <c r="C597" s="1599">
        <v>19022203026</v>
      </c>
      <c r="D597" s="664">
        <v>26</v>
      </c>
      <c r="E597" t="str">
        <f>IF(OR(Table1[[#This Row],[Type]]=0,Table1[[#This Row],[Type]]&gt;=40),"JA","SD")</f>
        <v>SD</v>
      </c>
      <c r="F597" t="s">
        <v>3205</v>
      </c>
      <c r="G597" s="661" t="s">
        <v>2624</v>
      </c>
      <c r="J597" s="653" t="str">
        <f>IFERROR(VLOOKUP(ROWS($J$2:J597),$A$2:$B$996,2,FALSE),"")</f>
        <v/>
      </c>
    </row>
    <row r="598" spans="1:10" x14ac:dyDescent="0.2">
      <c r="A598">
        <f>IF(ISNUMBER(SEARCH(Cover!$H$13,Table1[[#This Row],[School District]])),MAX($A$1:A597)+1,0)</f>
        <v>0</v>
      </c>
      <c r="B598" s="661" t="s">
        <v>1381</v>
      </c>
      <c r="C598" s="1599">
        <v>13095049004</v>
      </c>
      <c r="D598" s="664">
        <v>4</v>
      </c>
      <c r="E598" t="str">
        <f>IF(OR(Table1[[#This Row],[Type]]=0,Table1[[#This Row],[Type]]&gt;=40),"JA","SD")</f>
        <v>SD</v>
      </c>
      <c r="F598" t="s">
        <v>1785</v>
      </c>
      <c r="G598" s="661" t="s">
        <v>2625</v>
      </c>
      <c r="J598" s="653" t="str">
        <f>IFERROR(VLOOKUP(ROWS($J$2:J598),$A$2:$B$996,2,FALSE),"")</f>
        <v/>
      </c>
    </row>
    <row r="599" spans="1:10" x14ac:dyDescent="0.2">
      <c r="A599">
        <f>IF(ISNUMBER(SEARCH(Cover!$H$13,Table1[[#This Row],[School District]])),MAX($A$1:A598)+1,0)</f>
        <v>0</v>
      </c>
      <c r="B599" s="661" t="s">
        <v>1380</v>
      </c>
      <c r="C599" s="1599">
        <v>13095099016</v>
      </c>
      <c r="D599" s="664">
        <v>16</v>
      </c>
      <c r="E599" t="str">
        <f>IF(OR(Table1[[#This Row],[Type]]=0,Table1[[#This Row],[Type]]&gt;=40),"JA","SD")</f>
        <v>SD</v>
      </c>
      <c r="F599" t="s">
        <v>3206</v>
      </c>
      <c r="G599" s="661" t="s">
        <v>2626</v>
      </c>
      <c r="J599" s="653" t="str">
        <f>IFERROR(VLOOKUP(ROWS($J$2:J599),$A$2:$B$996,2,FALSE),"")</f>
        <v/>
      </c>
    </row>
    <row r="600" spans="1:10" x14ac:dyDescent="0.2">
      <c r="A600">
        <f>IF(ISNUMBER(SEARCH(Cover!$H$13,Table1[[#This Row],[School District]])),MAX($A$1:A599)+1,0)</f>
        <v>0</v>
      </c>
      <c r="B600" s="661" t="s">
        <v>1263</v>
      </c>
      <c r="C600" s="1599">
        <v>26034325026</v>
      </c>
      <c r="D600" s="664">
        <v>26</v>
      </c>
      <c r="E600" t="str">
        <f>IF(OR(Table1[[#This Row],[Type]]=0,Table1[[#This Row],[Type]]&gt;=40),"JA","SD")</f>
        <v>SD</v>
      </c>
      <c r="F600" t="s">
        <v>1834</v>
      </c>
      <c r="G600" s="661" t="s">
        <v>2627</v>
      </c>
      <c r="J600" s="653" t="str">
        <f>IFERROR(VLOOKUP(ROWS($J$2:J600),$A$2:$B$996,2,FALSE),"")</f>
        <v/>
      </c>
    </row>
    <row r="601" spans="1:10" x14ac:dyDescent="0.2">
      <c r="A601">
        <f>IF(ISNUMBER(SEARCH(Cover!$H$13,Table1[[#This Row],[School District]])),MAX($A$1:A600)+1,0)</f>
        <v>0</v>
      </c>
      <c r="B601" s="661" t="s">
        <v>1436</v>
      </c>
      <c r="C601" s="1599">
        <v>11018003026</v>
      </c>
      <c r="D601" s="664">
        <v>26</v>
      </c>
      <c r="E601" t="str">
        <f>IF(OR(Table1[[#This Row],[Type]]=0,Table1[[#This Row],[Type]]&gt;=40),"JA","SD")</f>
        <v>SD</v>
      </c>
      <c r="F601" t="s">
        <v>1871</v>
      </c>
      <c r="G601" s="661" t="s">
        <v>2628</v>
      </c>
      <c r="J601" s="653" t="str">
        <f>IFERROR(VLOOKUP(ROWS($J$2:J601),$A$2:$B$996,2,FALSE),"")</f>
        <v/>
      </c>
    </row>
    <row r="602" spans="1:10" x14ac:dyDescent="0.2">
      <c r="A602">
        <f>IF(ISNUMBER(SEARCH(Cover!$H$13,Table1[[#This Row],[School District]])),MAX($A$1:A601)+1,0)</f>
        <v>0</v>
      </c>
      <c r="B602" s="661" t="s">
        <v>924</v>
      </c>
      <c r="C602" s="1599" t="s">
        <v>925</v>
      </c>
      <c r="D602" s="664">
        <v>4</v>
      </c>
      <c r="E602" t="str">
        <f>IF(OR(Table1[[#This Row],[Type]]=0,Table1[[#This Row],[Type]]&gt;=40),"JA","SD")</f>
        <v>SD</v>
      </c>
      <c r="F602" t="s">
        <v>1809</v>
      </c>
      <c r="G602" s="661" t="s">
        <v>2629</v>
      </c>
      <c r="J602" s="653" t="str">
        <f>IFERROR(VLOOKUP(ROWS($J$2:J602),$A$2:$B$996,2,FALSE),"")</f>
        <v/>
      </c>
    </row>
    <row r="603" spans="1:10" x14ac:dyDescent="0.2">
      <c r="A603">
        <f>IF(ISNUMBER(SEARCH(Cover!$H$13,Table1[[#This Row],[School District]])),MAX($A$1:A602)+1,0)</f>
        <v>0</v>
      </c>
      <c r="B603" s="661" t="s">
        <v>1021</v>
      </c>
      <c r="C603" s="1599">
        <v>50082060026</v>
      </c>
      <c r="D603" s="664">
        <v>26</v>
      </c>
      <c r="E603" t="str">
        <f>IF(OR(Table1[[#This Row],[Type]]=0,Table1[[#This Row],[Type]]&gt;=40),"JA","SD")</f>
        <v>SD</v>
      </c>
      <c r="F603" t="s">
        <v>3134</v>
      </c>
      <c r="G603" s="661" t="s">
        <v>2630</v>
      </c>
      <c r="J603" s="653" t="str">
        <f>IFERROR(VLOOKUP(ROWS($J$2:J603),$A$2:$B$996,2,FALSE),"")</f>
        <v/>
      </c>
    </row>
    <row r="604" spans="1:10" x14ac:dyDescent="0.2">
      <c r="A604">
        <f>IF(ISNUMBER(SEARCH(Cover!$H$13,Table1[[#This Row],[School District]])),MAX($A$1:A603)+1,0)</f>
        <v>0</v>
      </c>
      <c r="B604" s="661" t="s">
        <v>992</v>
      </c>
      <c r="C604" s="1599">
        <v>51084016026</v>
      </c>
      <c r="D604" s="664">
        <v>26</v>
      </c>
      <c r="E604" t="str">
        <f>IF(OR(Table1[[#This Row],[Type]]=0,Table1[[#This Row],[Type]]&gt;=40),"JA","SD")</f>
        <v>SD</v>
      </c>
      <c r="F604" t="s">
        <v>3271</v>
      </c>
      <c r="G604" s="661" t="s">
        <v>2631</v>
      </c>
      <c r="J604" s="653" t="str">
        <f>IFERROR(VLOOKUP(ROWS($J$2:J604),$A$2:$B$996,2,FALSE),"")</f>
        <v/>
      </c>
    </row>
    <row r="605" spans="1:10" x14ac:dyDescent="0.2">
      <c r="A605">
        <f>IF(ISNUMBER(SEARCH(Cover!$H$13,Table1[[#This Row],[School District]])),MAX($A$1:A604)+1,0)</f>
        <v>0</v>
      </c>
      <c r="B605" s="661" t="s">
        <v>1357</v>
      </c>
      <c r="C605" s="1599">
        <v>17054088002</v>
      </c>
      <c r="D605" s="664">
        <v>2</v>
      </c>
      <c r="E605" t="str">
        <f>IF(OR(Table1[[#This Row],[Type]]=0,Table1[[#This Row],[Type]]&gt;=40),"JA","SD")</f>
        <v>SD</v>
      </c>
      <c r="F605" t="s">
        <v>3207</v>
      </c>
      <c r="G605" s="661" t="s">
        <v>2632</v>
      </c>
      <c r="J605" s="653" t="str">
        <f>IFERROR(VLOOKUP(ROWS($J$2:J605),$A$2:$B$996,2,FALSE),"")</f>
        <v/>
      </c>
    </row>
    <row r="606" spans="1:10" x14ac:dyDescent="0.2">
      <c r="A606">
        <f>IF(ISNUMBER(SEARCH(Cover!$H$13,Table1[[#This Row],[School District]])),MAX($A$1:A605)+1,0)</f>
        <v>0</v>
      </c>
      <c r="B606" s="661" t="s">
        <v>1307</v>
      </c>
      <c r="C606" s="1599">
        <v>20096006004</v>
      </c>
      <c r="D606" s="664">
        <v>4</v>
      </c>
      <c r="E606" t="str">
        <f>IF(OR(Table1[[#This Row],[Type]]=0,Table1[[#This Row],[Type]]&gt;=40),"JA","SD")</f>
        <v>SD</v>
      </c>
      <c r="F606" t="s">
        <v>3208</v>
      </c>
      <c r="G606" s="661" t="s">
        <v>2633</v>
      </c>
      <c r="J606" s="653" t="str">
        <f>IFERROR(VLOOKUP(ROWS($J$2:J606),$A$2:$B$996,2,FALSE),"")</f>
        <v/>
      </c>
    </row>
    <row r="607" spans="1:10" x14ac:dyDescent="0.2">
      <c r="A607">
        <f>IF(ISNUMBER(SEARCH(Cover!$H$13,Table1[[#This Row],[School District]])),MAX($A$1:A606)+1,0)</f>
        <v>0</v>
      </c>
      <c r="B607" s="661" t="s">
        <v>948</v>
      </c>
      <c r="C607" s="1599">
        <v>56099122002</v>
      </c>
      <c r="D607" s="664">
        <v>2</v>
      </c>
      <c r="E607" t="str">
        <f>IF(OR(Table1[[#This Row],[Type]]=0,Table1[[#This Row],[Type]]&gt;=40),"JA","SD")</f>
        <v>SD</v>
      </c>
      <c r="F607" t="s">
        <v>1793</v>
      </c>
      <c r="G607" s="661" t="s">
        <v>2634</v>
      </c>
      <c r="J607" s="653" t="str">
        <f>IFERROR(VLOOKUP(ROWS($J$2:J607),$A$2:$B$996,2,FALSE),"")</f>
        <v/>
      </c>
    </row>
    <row r="608" spans="1:10" x14ac:dyDescent="0.2">
      <c r="A608">
        <f>IF(ISNUMBER(SEARCH(Cover!$H$13,Table1[[#This Row],[School District]])),MAX($A$1:A607)+1,0)</f>
        <v>0</v>
      </c>
      <c r="B608" s="661" t="s">
        <v>1291</v>
      </c>
      <c r="C608" s="1599">
        <v>21044032003</v>
      </c>
      <c r="D608" s="664">
        <v>3</v>
      </c>
      <c r="E608" t="str">
        <f>IF(OR(Table1[[#This Row],[Type]]=0,Table1[[#This Row],[Type]]&gt;=40),"JA","SD")</f>
        <v>SD</v>
      </c>
      <c r="F608" t="s">
        <v>3209</v>
      </c>
      <c r="G608" s="661" t="s">
        <v>2635</v>
      </c>
      <c r="J608" s="653" t="str">
        <f>IFERROR(VLOOKUP(ROWS($J$2:J608),$A$2:$B$996,2,FALSE),"")</f>
        <v/>
      </c>
    </row>
    <row r="609" spans="1:10" x14ac:dyDescent="0.2">
      <c r="A609">
        <f>IF(ISNUMBER(SEARCH(Cover!$H$13,Table1[[#This Row],[School District]])),MAX($A$1:A608)+1,0)</f>
        <v>0</v>
      </c>
      <c r="B609" s="661" t="s">
        <v>1557</v>
      </c>
      <c r="C609" s="1599">
        <v>5016203017</v>
      </c>
      <c r="D609" s="664">
        <v>17</v>
      </c>
      <c r="E609" t="str">
        <f>IF(OR(Table1[[#This Row],[Type]]=0,Table1[[#This Row],[Type]]&gt;=40),"JA","SD")</f>
        <v>SD</v>
      </c>
      <c r="F609" t="s">
        <v>1766</v>
      </c>
      <c r="G609" s="661" t="s">
        <v>2636</v>
      </c>
      <c r="J609" s="653" t="str">
        <f>IFERROR(VLOOKUP(ROWS($J$2:J609),$A$2:$B$996,2,FALSE),"")</f>
        <v/>
      </c>
    </row>
    <row r="610" spans="1:10" ht="15" customHeight="1" x14ac:dyDescent="0.2">
      <c r="A610">
        <f>IF(ISNUMBER(SEARCH(Cover!$H$13,Table1[[#This Row],[School District]])),MAX($A$1:A609)+1,0)</f>
        <v>0</v>
      </c>
      <c r="B610" s="661" t="s">
        <v>1272</v>
      </c>
      <c r="C610" s="1599">
        <v>24047066004</v>
      </c>
      <c r="D610" s="664">
        <v>4</v>
      </c>
      <c r="E610" t="str">
        <f>IF(OR(Table1[[#This Row],[Type]]=0,Table1[[#This Row],[Type]]&gt;=40),"JA","SD")</f>
        <v>SD</v>
      </c>
      <c r="F610" t="s">
        <v>3210</v>
      </c>
      <c r="G610" s="661" t="s">
        <v>2637</v>
      </c>
      <c r="J610" s="653" t="str">
        <f>IFERROR(VLOOKUP(ROWS($J$2:J610),$A$2:$B$996,2,FALSE),"")</f>
        <v/>
      </c>
    </row>
    <row r="611" spans="1:10" x14ac:dyDescent="0.2">
      <c r="A611">
        <f>IF(ISNUMBER(SEARCH(Cover!$H$13,Table1[[#This Row],[School District]])),MAX($A$1:A610)+1,0)</f>
        <v>0</v>
      </c>
      <c r="B611" s="661" t="s">
        <v>1273</v>
      </c>
      <c r="C611" s="1599">
        <v>24047018016</v>
      </c>
      <c r="D611" s="664">
        <v>16</v>
      </c>
      <c r="E611" t="str">
        <f>IF(OR(Table1[[#This Row],[Type]]=0,Table1[[#This Row],[Type]]&gt;=40),"JA","SD")</f>
        <v>SD</v>
      </c>
      <c r="F611" t="s">
        <v>3211</v>
      </c>
      <c r="G611" s="661" t="s">
        <v>2638</v>
      </c>
      <c r="J611" s="653" t="str">
        <f>IFERROR(VLOOKUP(ROWS($J$2:J611),$A$2:$B$996,2,FALSE),"")</f>
        <v/>
      </c>
    </row>
    <row r="612" spans="1:10" x14ac:dyDescent="0.2">
      <c r="A612">
        <f>IF(ISNUMBER(SEARCH(Cover!$H$13,Table1[[#This Row],[School District]])),MAX($A$1:A611)+1,0)</f>
        <v>0</v>
      </c>
      <c r="B612" s="661" t="s">
        <v>1563</v>
      </c>
      <c r="C612" s="1599">
        <v>5016071002</v>
      </c>
      <c r="D612" s="664">
        <v>2</v>
      </c>
      <c r="E612" t="str">
        <f>IF(OR(Table1[[#This Row],[Type]]=0,Table1[[#This Row],[Type]]&gt;=40),"JA","SD")</f>
        <v>SD</v>
      </c>
      <c r="F612" t="s">
        <v>1766</v>
      </c>
      <c r="G612" s="661" t="s">
        <v>2639</v>
      </c>
      <c r="J612" s="653" t="str">
        <f>IFERROR(VLOOKUP(ROWS($J$2:J612),$A$2:$B$996,2,FALSE),"")</f>
        <v/>
      </c>
    </row>
    <row r="613" spans="1:10" x14ac:dyDescent="0.2">
      <c r="A613">
        <f>IF(ISNUMBER(SEARCH(Cover!$H$13,Table1[[#This Row],[School District]])),MAX($A$1:A612)+1,0)</f>
        <v>0</v>
      </c>
      <c r="B613" t="s">
        <v>1964</v>
      </c>
      <c r="C613" s="1599">
        <v>5016807060</v>
      </c>
      <c r="D613" s="664">
        <v>60</v>
      </c>
      <c r="E613" t="str">
        <f>IF(OR(Table1[[#This Row],[Type]]=0,Table1[[#This Row],[Type]]&gt;=40),"JA","SD")</f>
        <v>JA</v>
      </c>
      <c r="F613" t="s">
        <v>1766</v>
      </c>
      <c r="G613" s="661" t="s">
        <v>2640</v>
      </c>
      <c r="J613" s="653" t="str">
        <f>IFERROR(VLOOKUP(ROWS($J$2:J613),$A$2:$B$996,2,FALSE),"")</f>
        <v/>
      </c>
    </row>
    <row r="614" spans="1:10" x14ac:dyDescent="0.2">
      <c r="A614">
        <f>IF(ISNUMBER(SEARCH(Cover!$H$13,Table1[[#This Row],[School District]])),MAX($A$1:A613)+1,0)</f>
        <v>0</v>
      </c>
      <c r="B614" s="661" t="s">
        <v>1965</v>
      </c>
      <c r="C614" s="1599">
        <v>5016219017</v>
      </c>
      <c r="D614" s="664">
        <v>17</v>
      </c>
      <c r="E614" t="str">
        <f>IF(OR(Table1[[#This Row],[Type]]=0,Table1[[#This Row],[Type]]&gt;=40),"JA","SD")</f>
        <v>SD</v>
      </c>
      <c r="F614" t="s">
        <v>1766</v>
      </c>
      <c r="G614" s="661" t="s">
        <v>2641</v>
      </c>
      <c r="J614" s="653" t="str">
        <f>IFERROR(VLOOKUP(ROWS($J$2:J614),$A$2:$B$996,2,FALSE),"")</f>
        <v/>
      </c>
    </row>
    <row r="615" spans="1:10" x14ac:dyDescent="0.2">
      <c r="A615">
        <f>IF(ISNUMBER(SEARCH(Cover!$H$13,Table1[[#This Row],[School District]])),MAX($A$1:A614)+1,0)</f>
        <v>0</v>
      </c>
      <c r="B615" s="661" t="s">
        <v>1092</v>
      </c>
      <c r="C615" s="1599">
        <v>44063002003</v>
      </c>
      <c r="D615" s="664">
        <v>3</v>
      </c>
      <c r="E615" t="str">
        <f>IF(OR(Table1[[#This Row],[Type]]=0,Table1[[#This Row],[Type]]&gt;=40),"JA","SD")</f>
        <v>SD</v>
      </c>
      <c r="F615" t="s">
        <v>3152</v>
      </c>
      <c r="G615" s="661" t="s">
        <v>2642</v>
      </c>
      <c r="J615" s="653" t="str">
        <f>IFERROR(VLOOKUP(ROWS($J$2:J615),$A$2:$B$996,2,FALSE),"")</f>
        <v/>
      </c>
    </row>
    <row r="616" spans="1:10" x14ac:dyDescent="0.2">
      <c r="A616">
        <f>IF(ISNUMBER(SEARCH(Cover!$H$13,Table1[[#This Row],[School District]])),MAX($A$1:A615)+1,0)</f>
        <v>0</v>
      </c>
      <c r="B616" s="661" t="s">
        <v>1599</v>
      </c>
      <c r="C616" s="1599">
        <v>3068022026</v>
      </c>
      <c r="D616" s="664">
        <v>26</v>
      </c>
      <c r="E616" t="str">
        <f>IF(OR(Table1[[#This Row],[Type]]=0,Table1[[#This Row],[Type]]&gt;=40),"JA","SD")</f>
        <v>SD</v>
      </c>
      <c r="F616" t="s">
        <v>3212</v>
      </c>
      <c r="G616" s="661" t="s">
        <v>2643</v>
      </c>
      <c r="J616" s="653" t="str">
        <f>IFERROR(VLOOKUP(ROWS($J$2:J616),$A$2:$B$996,2,FALSE),"")</f>
        <v/>
      </c>
    </row>
    <row r="617" spans="1:10" x14ac:dyDescent="0.2">
      <c r="A617">
        <f>IF(ISNUMBER(SEARCH(Cover!$H$13,Table1[[#This Row],[School District]])),MAX($A$1:A616)+1,0)</f>
        <v>0</v>
      </c>
      <c r="B617" s="661" t="s">
        <v>1552</v>
      </c>
      <c r="C617" s="1599">
        <v>6016080002</v>
      </c>
      <c r="D617" s="664">
        <v>2</v>
      </c>
      <c r="E617" t="str">
        <f>IF(OR(Table1[[#This Row],[Type]]=0,Table1[[#This Row],[Type]]&gt;=40),"JA","SD")</f>
        <v>SD</v>
      </c>
      <c r="F617" t="s">
        <v>1766</v>
      </c>
      <c r="G617" s="661" t="s">
        <v>2644</v>
      </c>
      <c r="J617" s="653" t="str">
        <f>IFERROR(VLOOKUP(ROWS($J$2:J617),$A$2:$B$996,2,FALSE),"")</f>
        <v/>
      </c>
    </row>
    <row r="618" spans="1:10" ht="15" customHeight="1" x14ac:dyDescent="0.2">
      <c r="A618">
        <f>IF(ISNUMBER(SEARCH(Cover!$H$13,Table1[[#This Row],[School District]])),MAX($A$1:A617)+1,0)</f>
        <v>0</v>
      </c>
      <c r="B618" s="661" t="s">
        <v>1300</v>
      </c>
      <c r="C618" s="1599">
        <v>20097003026</v>
      </c>
      <c r="D618" s="664">
        <v>26</v>
      </c>
      <c r="E618" t="str">
        <f>IF(OR(Table1[[#This Row],[Type]]=0,Table1[[#This Row],[Type]]&gt;=40),"JA","SD")</f>
        <v>SD</v>
      </c>
      <c r="F618" t="s">
        <v>3213</v>
      </c>
      <c r="G618" s="661" t="s">
        <v>2645</v>
      </c>
      <c r="J618" s="653" t="str">
        <f>IFERROR(VLOOKUP(ROWS($J$2:J618),$A$2:$B$996,2,FALSE),"")</f>
        <v/>
      </c>
    </row>
    <row r="619" spans="1:10" x14ac:dyDescent="0.2">
      <c r="A619">
        <f>IF(ISNUMBER(SEARCH(Cover!$H$13,Table1[[#This Row],[School District]])),MAX($A$1:A618)+1,0)</f>
        <v>0</v>
      </c>
      <c r="B619" s="661" t="s">
        <v>1597</v>
      </c>
      <c r="C619" s="1599">
        <v>4004200026</v>
      </c>
      <c r="D619" s="664">
        <v>26</v>
      </c>
      <c r="E619" t="str">
        <f>IF(OR(Table1[[#This Row],[Type]]=0,Table1[[#This Row],[Type]]&gt;=40),"JA","SD")</f>
        <v>SD</v>
      </c>
      <c r="F619" t="s">
        <v>1794</v>
      </c>
      <c r="G619" s="661" t="s">
        <v>2646</v>
      </c>
      <c r="J619" s="653" t="str">
        <f>IFERROR(VLOOKUP(ROWS($J$2:J619),$A$2:$B$996,2,FALSE),"")</f>
        <v/>
      </c>
    </row>
    <row r="620" spans="1:10" x14ac:dyDescent="0.2">
      <c r="A620">
        <f>IF(ISNUMBER(SEARCH(Cover!$H$13,Table1[[#This Row],[School District]])),MAX($A$1:A619)+1,0)</f>
        <v>0</v>
      </c>
      <c r="B620" s="661" t="s">
        <v>1149</v>
      </c>
      <c r="C620" s="1599">
        <v>34049187026</v>
      </c>
      <c r="D620" s="664">
        <v>26</v>
      </c>
      <c r="E620" t="str">
        <f>IF(OR(Table1[[#This Row],[Type]]=0,Table1[[#This Row],[Type]]&gt;=40),"JA","SD")</f>
        <v>SD</v>
      </c>
      <c r="F620" t="s">
        <v>1765</v>
      </c>
      <c r="G620" s="661" t="s">
        <v>2647</v>
      </c>
      <c r="J620" s="653" t="str">
        <f>IFERROR(VLOOKUP(ROWS($J$2:J620),$A$2:$B$996,2,FALSE),"")</f>
        <v/>
      </c>
    </row>
    <row r="621" spans="1:10" x14ac:dyDescent="0.2">
      <c r="A621">
        <f>IF(ISNUMBER(SEARCH(Cover!$H$13,Table1[[#This Row],[School District]])),MAX($A$1:A620)+1,0)</f>
        <v>0</v>
      </c>
      <c r="B621" s="661" t="s">
        <v>1421</v>
      </c>
      <c r="C621" s="1599">
        <v>12013025026</v>
      </c>
      <c r="D621" s="664">
        <v>26</v>
      </c>
      <c r="E621" t="str">
        <f>IF(OR(Table1[[#This Row],[Type]]=0,Table1[[#This Row],[Type]]&gt;=40),"JA","SD")</f>
        <v>SD</v>
      </c>
      <c r="F621" t="s">
        <v>1858</v>
      </c>
      <c r="G621" s="661" t="s">
        <v>2648</v>
      </c>
      <c r="J621" s="653" t="str">
        <f>IFERROR(VLOOKUP(ROWS($J$2:J621),$A$2:$B$996,2,FALSE),"")</f>
        <v/>
      </c>
    </row>
    <row r="622" spans="1:10" x14ac:dyDescent="0.2">
      <c r="A622">
        <f>IF(ISNUMBER(SEARCH(Cover!$H$13,Table1[[#This Row],[School District]])),MAX($A$1:A621)+1,0)</f>
        <v>0</v>
      </c>
      <c r="B622" t="s">
        <v>1680</v>
      </c>
      <c r="C622" s="1599">
        <v>19022802060</v>
      </c>
      <c r="D622" s="664">
        <v>60</v>
      </c>
      <c r="E622" t="str">
        <f>IF(OR(Table1[[#This Row],[Type]]=0,Table1[[#This Row],[Type]]&gt;=40),"JA","SD")</f>
        <v>JA</v>
      </c>
      <c r="F622" t="s">
        <v>1764</v>
      </c>
      <c r="G622" s="661" t="s">
        <v>2649</v>
      </c>
      <c r="J622" s="653" t="str">
        <f>IFERROR(VLOOKUP(ROWS($J$2:J622),$A$2:$B$996,2,FALSE),"")</f>
        <v/>
      </c>
    </row>
    <row r="623" spans="1:10" ht="15" customHeight="1" x14ac:dyDescent="0.2">
      <c r="A623">
        <f>IF(ISNUMBER(SEARCH(Cover!$H$13,Table1[[#This Row],[School District]])),MAX($A$1:A622)+1,0)</f>
        <v>0</v>
      </c>
      <c r="B623" s="661" t="s">
        <v>1114</v>
      </c>
      <c r="C623" s="1599">
        <v>40031003026</v>
      </c>
      <c r="D623" s="664">
        <v>26</v>
      </c>
      <c r="E623" t="str">
        <f>IF(OR(Table1[[#This Row],[Type]]=0,Table1[[#This Row],[Type]]&gt;=40),"JA","SD")</f>
        <v>SD</v>
      </c>
      <c r="F623" t="s">
        <v>3214</v>
      </c>
      <c r="G623" s="661" t="s">
        <v>2650</v>
      </c>
      <c r="J623" s="653" t="str">
        <f>IFERROR(VLOOKUP(ROWS($J$2:J623),$A$2:$B$996,2,FALSE),"")</f>
        <v/>
      </c>
    </row>
    <row r="624" spans="1:10" x14ac:dyDescent="0.2">
      <c r="A624">
        <f>IF(ISNUMBER(SEARCH(Cover!$H$13,Table1[[#This Row],[School District]])),MAX($A$1:A623)+1,0)</f>
        <v>0</v>
      </c>
      <c r="B624" s="661" t="s">
        <v>1105</v>
      </c>
      <c r="C624" s="1599">
        <v>40056034026</v>
      </c>
      <c r="D624" s="664">
        <v>26</v>
      </c>
      <c r="E624" t="str">
        <f>IF(OR(Table1[[#This Row],[Type]]=0,Table1[[#This Row],[Type]]&gt;=40),"JA","SD")</f>
        <v>SD</v>
      </c>
      <c r="F624" t="s">
        <v>1817</v>
      </c>
      <c r="G624" s="661" t="s">
        <v>2651</v>
      </c>
      <c r="J624" s="653" t="str">
        <f>IFERROR(VLOOKUP(ROWS($J$2:J624),$A$2:$B$996,2,FALSE),"")</f>
        <v/>
      </c>
    </row>
    <row r="625" spans="1:10" x14ac:dyDescent="0.2">
      <c r="A625">
        <f>IF(ISNUMBER(SEARCH(Cover!$H$13,Table1[[#This Row],[School District]])),MAX($A$1:A624)+1,0)</f>
        <v>0</v>
      </c>
      <c r="B625" s="661" t="s">
        <v>1515</v>
      </c>
      <c r="C625" s="1599">
        <v>7016117002</v>
      </c>
      <c r="D625" s="664">
        <v>2</v>
      </c>
      <c r="E625" t="str">
        <f>IF(OR(Table1[[#This Row],[Type]]=0,Table1[[#This Row],[Type]]&gt;=40),"JA","SD")</f>
        <v>SD</v>
      </c>
      <c r="F625" t="s">
        <v>1766</v>
      </c>
      <c r="G625" s="661" t="s">
        <v>2652</v>
      </c>
      <c r="J625" s="653" t="str">
        <f>IFERROR(VLOOKUP(ROWS($J$2:J625),$A$2:$B$996,2,FALSE),"")</f>
        <v/>
      </c>
    </row>
    <row r="626" spans="1:10" x14ac:dyDescent="0.2">
      <c r="A626">
        <f>IF(ISNUMBER(SEARCH(Cover!$H$13,Table1[[#This Row],[School District]])),MAX($A$1:A625)+1,0)</f>
        <v>0</v>
      </c>
      <c r="B626" s="661" t="s">
        <v>1161</v>
      </c>
      <c r="C626" s="1599">
        <v>34049112002</v>
      </c>
      <c r="D626" s="664">
        <v>2</v>
      </c>
      <c r="E626" t="str">
        <f>IF(OR(Table1[[#This Row],[Type]]=0,Table1[[#This Row],[Type]]&gt;=40),"JA","SD")</f>
        <v>SD</v>
      </c>
      <c r="F626" t="s">
        <v>1765</v>
      </c>
      <c r="G626" s="661" t="s">
        <v>2653</v>
      </c>
      <c r="J626" s="653" t="str">
        <f>IFERROR(VLOOKUP(ROWS($J$2:J626),$A$2:$B$996,2,FALSE),"")</f>
        <v/>
      </c>
    </row>
    <row r="627" spans="1:10" x14ac:dyDescent="0.2">
      <c r="A627">
        <f>IF(ISNUMBER(SEARCH(Cover!$H$13,Table1[[#This Row],[School District]])),MAX($A$1:A626)+1,0)</f>
        <v>0</v>
      </c>
      <c r="B627" t="s">
        <v>1643</v>
      </c>
      <c r="C627" s="1599">
        <v>5016207046</v>
      </c>
      <c r="D627" s="664">
        <v>46</v>
      </c>
      <c r="E627" t="str">
        <f>IF(OR(Table1[[#This Row],[Type]]=0,Table1[[#This Row],[Type]]&gt;=40),"JA","SD")</f>
        <v>JA</v>
      </c>
      <c r="F627" t="s">
        <v>1766</v>
      </c>
      <c r="G627" s="661" t="s">
        <v>2654</v>
      </c>
      <c r="J627" s="653" t="str">
        <f>IFERROR(VLOOKUP(ROWS($J$2:J627),$A$2:$B$996,2,FALSE),"")</f>
        <v/>
      </c>
    </row>
    <row r="628" spans="1:10" x14ac:dyDescent="0.2">
      <c r="A628">
        <f>IF(ISNUMBER(SEARCH(Cover!$H$13,Table1[[#This Row],[School District]])),MAX($A$1:A627)+1,0)</f>
        <v>0</v>
      </c>
      <c r="B628" s="661" t="s">
        <v>1405</v>
      </c>
      <c r="C628" s="1599">
        <v>13014186002</v>
      </c>
      <c r="D628" s="664">
        <v>2</v>
      </c>
      <c r="E628" t="str">
        <f>IF(OR(Table1[[#This Row],[Type]]=0,Table1[[#This Row],[Type]]&gt;=40),"JA","SD")</f>
        <v>SD</v>
      </c>
      <c r="F628" t="s">
        <v>1768</v>
      </c>
      <c r="G628" s="661" t="s">
        <v>2655</v>
      </c>
      <c r="J628" s="653" t="str">
        <f>IFERROR(VLOOKUP(ROWS($J$2:J628),$A$2:$B$996,2,FALSE),"")</f>
        <v/>
      </c>
    </row>
    <row r="629" spans="1:10" ht="15" customHeight="1" x14ac:dyDescent="0.2">
      <c r="A629">
        <f>IF(ISNUMBER(SEARCH(Cover!$H$13,Table1[[#This Row],[School District]])),MAX($A$1:A628)+1,0)</f>
        <v>0</v>
      </c>
      <c r="B629" s="661" t="s">
        <v>1302</v>
      </c>
      <c r="C629" s="1599">
        <v>20096200026</v>
      </c>
      <c r="D629" s="664">
        <v>26</v>
      </c>
      <c r="E629" t="str">
        <f>IF(OR(Table1[[#This Row],[Type]]=0,Table1[[#This Row],[Type]]&gt;=40),"JA","SD")</f>
        <v>SD</v>
      </c>
      <c r="F629" t="s">
        <v>1894</v>
      </c>
      <c r="G629" s="661" t="s">
        <v>2656</v>
      </c>
      <c r="J629" s="653" t="str">
        <f>IFERROR(VLOOKUP(ROWS($J$2:J629),$A$2:$B$996,2,FALSE),"")</f>
        <v/>
      </c>
    </row>
    <row r="630" spans="1:10" ht="15" customHeight="1" x14ac:dyDescent="0.2">
      <c r="A630">
        <f>IF(ISNUMBER(SEARCH(Cover!$H$13,Table1[[#This Row],[School District]])),MAX($A$1:A629)+1,0)</f>
        <v>0</v>
      </c>
      <c r="B630" s="661" t="s">
        <v>1582</v>
      </c>
      <c r="C630" s="1599">
        <v>5016027002</v>
      </c>
      <c r="D630" s="664">
        <v>2</v>
      </c>
      <c r="E630" t="str">
        <f>IF(OR(Table1[[#This Row],[Type]]=0,Table1[[#This Row],[Type]]&gt;=40),"JA","SD")</f>
        <v>SD</v>
      </c>
      <c r="F630" t="s">
        <v>1766</v>
      </c>
      <c r="G630" s="661" t="s">
        <v>2657</v>
      </c>
      <c r="J630" s="653" t="str">
        <f>IFERROR(VLOOKUP(ROWS($J$2:J630),$A$2:$B$996,2,FALSE),"")</f>
        <v/>
      </c>
    </row>
    <row r="631" spans="1:10" x14ac:dyDescent="0.2">
      <c r="A631">
        <f>IF(ISNUMBER(SEARCH(Cover!$H$13,Table1[[#This Row],[School District]])),MAX($A$1:A630)+1,0)</f>
        <v>0</v>
      </c>
      <c r="B631" s="661" t="s">
        <v>1581</v>
      </c>
      <c r="C631" s="1599">
        <v>5016028002</v>
      </c>
      <c r="D631" s="664">
        <v>2</v>
      </c>
      <c r="E631" t="str">
        <f>IF(OR(Table1[[#This Row],[Type]]=0,Table1[[#This Row],[Type]]&gt;=40),"JA","SD")</f>
        <v>SD</v>
      </c>
      <c r="F631" t="s">
        <v>1766</v>
      </c>
      <c r="G631" s="661" t="s">
        <v>2658</v>
      </c>
      <c r="J631" s="653" t="str">
        <f>IFERROR(VLOOKUP(ROWS($J$2:J631),$A$2:$B$996,2,FALSE),"")</f>
        <v/>
      </c>
    </row>
    <row r="632" spans="1:10" ht="15" customHeight="1" x14ac:dyDescent="0.2">
      <c r="A632">
        <f>IF(ISNUMBER(SEARCH(Cover!$H$13,Table1[[#This Row],[School District]])),MAX($A$1:A631)+1,0)</f>
        <v>0</v>
      </c>
      <c r="B632" s="661" t="s">
        <v>1579</v>
      </c>
      <c r="C632" s="1599">
        <v>5016030002</v>
      </c>
      <c r="D632" s="664">
        <v>2</v>
      </c>
      <c r="E632" t="str">
        <f>IF(OR(Table1[[#This Row],[Type]]=0,Table1[[#This Row],[Type]]&gt;=40),"JA","SD")</f>
        <v>SD</v>
      </c>
      <c r="F632" t="s">
        <v>1766</v>
      </c>
      <c r="G632" s="661" t="s">
        <v>2659</v>
      </c>
      <c r="J632" s="653" t="str">
        <f>IFERROR(VLOOKUP(ROWS($J$2:J632),$A$2:$B$996,2,FALSE),"")</f>
        <v/>
      </c>
    </row>
    <row r="633" spans="1:10" ht="15" customHeight="1" x14ac:dyDescent="0.2">
      <c r="A633">
        <f>IF(ISNUMBER(SEARCH(Cover!$H$13,Table1[[#This Row],[School District]])),MAX($A$1:A632)+1,0)</f>
        <v>0</v>
      </c>
      <c r="B633" t="s">
        <v>1692</v>
      </c>
      <c r="C633" s="1599">
        <v>31045301046</v>
      </c>
      <c r="D633" s="664">
        <v>46</v>
      </c>
      <c r="E633" t="str">
        <f>IF(OR(Table1[[#This Row],[Type]]=0,Table1[[#This Row],[Type]]&gt;=40),"JA","SD")</f>
        <v>JA</v>
      </c>
      <c r="F633" t="s">
        <v>1789</v>
      </c>
      <c r="G633" s="661" t="s">
        <v>2660</v>
      </c>
      <c r="J633" s="653" t="str">
        <f>IFERROR(VLOOKUP(ROWS($J$2:J633),$A$2:$B$996,2,FALSE),"")</f>
        <v/>
      </c>
    </row>
    <row r="634" spans="1:10" x14ac:dyDescent="0.2">
      <c r="A634">
        <f>IF(ISNUMBER(SEARCH(Cover!$H$13,Table1[[#This Row],[School District]])),MAX($A$1:A633)+1,0)</f>
        <v>0</v>
      </c>
      <c r="B634" t="s">
        <v>1737</v>
      </c>
      <c r="C634" s="1599">
        <v>34049804060</v>
      </c>
      <c r="D634" s="664">
        <v>60</v>
      </c>
      <c r="E634" t="str">
        <f>IF(OR(Table1[[#This Row],[Type]]=0,Table1[[#This Row],[Type]]&gt;=40),"JA","SD")</f>
        <v>JA</v>
      </c>
      <c r="F634" t="s">
        <v>1765</v>
      </c>
      <c r="G634" s="661" t="s">
        <v>2661</v>
      </c>
      <c r="J634" s="653" t="str">
        <f>IFERROR(VLOOKUP(ROWS($J$2:J634),$A$2:$B$996,2,FALSE),"")</f>
        <v/>
      </c>
    </row>
    <row r="635" spans="1:10" ht="15" customHeight="1" x14ac:dyDescent="0.2">
      <c r="A635">
        <f>IF(ISNUMBER(SEARCH(Cover!$H$13,Table1[[#This Row],[School District]])),MAX($A$1:A634)+1,0)</f>
        <v>0</v>
      </c>
      <c r="B635" s="661" t="s">
        <v>1555</v>
      </c>
      <c r="C635" s="1599">
        <v>5016225017</v>
      </c>
      <c r="D635" s="664">
        <v>17</v>
      </c>
      <c r="E635" t="str">
        <f>IF(OR(Table1[[#This Row],[Type]]=0,Table1[[#This Row],[Type]]&gt;=40),"JA","SD")</f>
        <v>SD</v>
      </c>
      <c r="F635" t="s">
        <v>1766</v>
      </c>
      <c r="G635" s="661" t="s">
        <v>2662</v>
      </c>
      <c r="J635" s="653" t="str">
        <f>IFERROR(VLOOKUP(ROWS($J$2:J635),$A$2:$B$996,2,FALSE),"")</f>
        <v/>
      </c>
    </row>
    <row r="636" spans="1:10" x14ac:dyDescent="0.2">
      <c r="A636">
        <f>IF(ISNUMBER(SEARCH(Cover!$H$13,Table1[[#This Row],[School District]])),MAX($A$1:A635)+1,0)</f>
        <v>0</v>
      </c>
      <c r="B636" t="s">
        <v>1744</v>
      </c>
      <c r="C636" s="1599">
        <v>5016214046</v>
      </c>
      <c r="D636" s="664">
        <v>46</v>
      </c>
      <c r="E636" t="str">
        <f>IF(OR(Table1[[#This Row],[Type]]=0,Table1[[#This Row],[Type]]&gt;=40),"JA","SD")</f>
        <v>JA</v>
      </c>
      <c r="F636" t="s">
        <v>1766</v>
      </c>
      <c r="G636" s="661" t="s">
        <v>2663</v>
      </c>
      <c r="J636" s="653" t="str">
        <f>IFERROR(VLOOKUP(ROWS($J$2:J636),$A$2:$B$996,2,FALSE),"")</f>
        <v/>
      </c>
    </row>
    <row r="637" spans="1:10" ht="15" customHeight="1" x14ac:dyDescent="0.2">
      <c r="A637">
        <f>IF(ISNUMBER(SEARCH(Cover!$H$13,Table1[[#This Row],[School District]])),MAX($A$1:A636)+1,0)</f>
        <v>0</v>
      </c>
      <c r="B637" t="s">
        <v>1655</v>
      </c>
      <c r="C637" s="1599">
        <v>8043210061</v>
      </c>
      <c r="D637" s="664">
        <v>61</v>
      </c>
      <c r="E637" t="str">
        <f>IF(OR(Table1[[#This Row],[Type]]=0,Table1[[#This Row],[Type]]&gt;=40),"JA","SD")</f>
        <v>JA</v>
      </c>
      <c r="F637" t="s">
        <v>1885</v>
      </c>
      <c r="G637" s="661" t="s">
        <v>2664</v>
      </c>
      <c r="J637" s="653" t="str">
        <f>IFERROR(VLOOKUP(ROWS($J$2:J637),$A$2:$B$996,2,FALSE),"")</f>
        <v/>
      </c>
    </row>
    <row r="638" spans="1:10" ht="15" customHeight="1" x14ac:dyDescent="0.2">
      <c r="A638">
        <f>IF(ISNUMBER(SEARCH(Cover!$H$13,Table1[[#This Row],[School District]])),MAX($A$1:A637)+1,0)</f>
        <v>0</v>
      </c>
      <c r="B638" t="s">
        <v>1966</v>
      </c>
      <c r="C638" s="1599">
        <v>5016805060</v>
      </c>
      <c r="D638" s="664">
        <v>60</v>
      </c>
      <c r="E638" t="str">
        <f>IF(OR(Table1[[#This Row],[Type]]=0,Table1[[#This Row],[Type]]&gt;=40),"JA","SD")</f>
        <v>JA</v>
      </c>
      <c r="F638" t="s">
        <v>1766</v>
      </c>
      <c r="G638" s="661" t="s">
        <v>2665</v>
      </c>
      <c r="J638" s="653" t="str">
        <f>IFERROR(VLOOKUP(ROWS($J$2:J638),$A$2:$B$996,2,FALSE),"")</f>
        <v/>
      </c>
    </row>
    <row r="639" spans="1:10" x14ac:dyDescent="0.2">
      <c r="A639">
        <f>IF(ISNUMBER(SEARCH(Cover!$H$13,Table1[[#This Row],[School District]])),MAX($A$1:A638)+1,0)</f>
        <v>0</v>
      </c>
      <c r="B639" s="661" t="s">
        <v>1110</v>
      </c>
      <c r="C639" s="1599">
        <v>40056002026</v>
      </c>
      <c r="D639" s="664">
        <v>26</v>
      </c>
      <c r="E639" t="str">
        <f>IF(OR(Table1[[#This Row],[Type]]=0,Table1[[#This Row],[Type]]&gt;=40),"JA","SD")</f>
        <v>SD</v>
      </c>
      <c r="F639" t="s">
        <v>1817</v>
      </c>
      <c r="G639" s="661" t="s">
        <v>2666</v>
      </c>
      <c r="J639" s="653" t="str">
        <f>IFERROR(VLOOKUP(ROWS($J$2:J639),$A$2:$B$996,2,FALSE),"")</f>
        <v/>
      </c>
    </row>
    <row r="640" spans="1:10" x14ac:dyDescent="0.2">
      <c r="A640">
        <f>IF(ISNUMBER(SEARCH(Cover!$H$13,Table1[[#This Row],[School District]])),MAX($A$1:A639)+1,0)</f>
        <v>0</v>
      </c>
      <c r="B640" t="s">
        <v>1967</v>
      </c>
      <c r="C640" s="1599">
        <v>16019427061</v>
      </c>
      <c r="D640" s="664">
        <v>61</v>
      </c>
      <c r="E640" t="str">
        <f>IF(OR(Table1[[#This Row],[Type]]=0,Table1[[#This Row],[Type]]&gt;=40),"JA","SD")</f>
        <v>JA</v>
      </c>
      <c r="F640" t="s">
        <v>1932</v>
      </c>
      <c r="G640" s="661" t="s">
        <v>2667</v>
      </c>
      <c r="J640" s="653" t="str">
        <f>IFERROR(VLOOKUP(ROWS($J$2:J640),$A$2:$B$996,2,FALSE),"")</f>
        <v/>
      </c>
    </row>
    <row r="641" spans="1:10" x14ac:dyDescent="0.2">
      <c r="A641">
        <f>IF(ISNUMBER(SEARCH(Cover!$H$13,Table1[[#This Row],[School District]])),MAX($A$1:A640)+1,0)</f>
        <v>0</v>
      </c>
      <c r="B641" s="661" t="s">
        <v>1048</v>
      </c>
      <c r="C641" s="1599">
        <v>48072063002</v>
      </c>
      <c r="D641" s="664">
        <v>2</v>
      </c>
      <c r="E641" t="str">
        <f>IF(OR(Table1[[#This Row],[Type]]=0,Table1[[#This Row],[Type]]&gt;=40),"JA","SD")</f>
        <v>SD</v>
      </c>
      <c r="F641" t="s">
        <v>1790</v>
      </c>
      <c r="G641" s="661" t="s">
        <v>2668</v>
      </c>
      <c r="J641" s="653" t="str">
        <f>IFERROR(VLOOKUP(ROWS($J$2:J641),$A$2:$B$996,2,FALSE),"")</f>
        <v/>
      </c>
    </row>
    <row r="642" spans="1:10" x14ac:dyDescent="0.2">
      <c r="A642">
        <f>IF(ISNUMBER(SEARCH(Cover!$H$13,Table1[[#This Row],[School District]])),MAX($A$1:A641)+1,0)</f>
        <v>0</v>
      </c>
      <c r="B642" t="s">
        <v>1639</v>
      </c>
      <c r="C642" s="1599">
        <v>3011802060</v>
      </c>
      <c r="D642" s="664">
        <v>60</v>
      </c>
      <c r="E642" t="str">
        <f>IF(OR(Table1[[#This Row],[Type]]=0,Table1[[#This Row],[Type]]&gt;=40),"JA","SD")</f>
        <v>JA</v>
      </c>
      <c r="F642" t="s">
        <v>1889</v>
      </c>
      <c r="G642" s="661" t="s">
        <v>2669</v>
      </c>
      <c r="J642" s="653" t="str">
        <f>IFERROR(VLOOKUP(ROWS($J$2:J642),$A$2:$B$996,2,FALSE),"")</f>
        <v/>
      </c>
    </row>
    <row r="643" spans="1:10" x14ac:dyDescent="0.2">
      <c r="A643">
        <f>IF(ISNUMBER(SEARCH(Cover!$H$13,Table1[[#This Row],[School District]])),MAX($A$1:A642)+1,0)</f>
        <v>0</v>
      </c>
      <c r="B643" s="661" t="s">
        <v>1968</v>
      </c>
      <c r="C643" s="1599">
        <v>50082090004</v>
      </c>
      <c r="D643" s="664">
        <v>4</v>
      </c>
      <c r="E643" t="str">
        <f>IF(OR(Table1[[#This Row],[Type]]=0,Table1[[#This Row],[Type]]&gt;=40),"JA","SD")</f>
        <v>SD</v>
      </c>
      <c r="F643" t="s">
        <v>3134</v>
      </c>
      <c r="G643" s="661" t="s">
        <v>2670</v>
      </c>
      <c r="J643" s="653" t="str">
        <f>IFERROR(VLOOKUP(ROWS($J$2:J643),$A$2:$B$996,2,FALSE),"")</f>
        <v/>
      </c>
    </row>
    <row r="644" spans="1:10" x14ac:dyDescent="0.2">
      <c r="A644">
        <f>IF(ISNUMBER(SEARCH(Cover!$H$13,Table1[[#This Row],[School District]])),MAX($A$1:A643)+1,0)</f>
        <v>0</v>
      </c>
      <c r="B644" s="661" t="s">
        <v>1969</v>
      </c>
      <c r="C644" s="1599">
        <v>50082203017</v>
      </c>
      <c r="D644" s="664">
        <v>17</v>
      </c>
      <c r="E644" t="str">
        <f>IF(OR(Table1[[#This Row],[Type]]=0,Table1[[#This Row],[Type]]&gt;=40),"JA","SD")</f>
        <v>SD</v>
      </c>
      <c r="F644" t="s">
        <v>3134</v>
      </c>
      <c r="G644" s="661" t="s">
        <v>2671</v>
      </c>
      <c r="J644" s="653" t="str">
        <f>IFERROR(VLOOKUP(ROWS($J$2:J644),$A$2:$B$996,2,FALSE),"")</f>
        <v/>
      </c>
    </row>
    <row r="645" spans="1:10" x14ac:dyDescent="0.2">
      <c r="A645">
        <f>IF(ISNUMBER(SEARCH(Cover!$H$13,Table1[[#This Row],[School District]])),MAX($A$1:A644)+1,0)</f>
        <v>0</v>
      </c>
      <c r="B645" s="661" t="s">
        <v>1970</v>
      </c>
      <c r="C645" s="1599">
        <v>48072068002</v>
      </c>
      <c r="D645" s="664">
        <v>2</v>
      </c>
      <c r="E645" t="str">
        <f>IF(OR(Table1[[#This Row],[Type]]=0,Table1[[#This Row],[Type]]&gt;=40),"JA","SD")</f>
        <v>SD</v>
      </c>
      <c r="F645" t="s">
        <v>1790</v>
      </c>
      <c r="G645" s="661" t="s">
        <v>2672</v>
      </c>
      <c r="J645" s="653" t="str">
        <f>IFERROR(VLOOKUP(ROWS($J$2:J645),$A$2:$B$996,2,FALSE),"")</f>
        <v/>
      </c>
    </row>
    <row r="646" spans="1:10" x14ac:dyDescent="0.2">
      <c r="A646">
        <f>IF(ISNUMBER(SEARCH(Cover!$H$13,Table1[[#This Row],[School District]])),MAX($A$1:A645)+1,0)</f>
        <v>0</v>
      </c>
      <c r="B646" s="661" t="s">
        <v>1174</v>
      </c>
      <c r="C646" s="1599">
        <v>34049068002</v>
      </c>
      <c r="D646" s="664">
        <v>2</v>
      </c>
      <c r="E646" t="str">
        <f>IF(OR(Table1[[#This Row],[Type]]=0,Table1[[#This Row],[Type]]&gt;=40),"JA","SD")</f>
        <v>SD</v>
      </c>
      <c r="F646" t="s">
        <v>1765</v>
      </c>
      <c r="G646" s="661" t="s">
        <v>2673</v>
      </c>
      <c r="J646" s="653" t="str">
        <f>IFERROR(VLOOKUP(ROWS($J$2:J646),$A$2:$B$996,2,FALSE),"")</f>
        <v/>
      </c>
    </row>
    <row r="647" spans="1:10" x14ac:dyDescent="0.2">
      <c r="A647">
        <f>IF(ISNUMBER(SEARCH(Cover!$H$13,Table1[[#This Row],[School District]])),MAX($A$1:A646)+1,0)</f>
        <v>0</v>
      </c>
      <c r="B647" s="661" t="s">
        <v>1465</v>
      </c>
      <c r="C647" s="1599">
        <v>7016229016</v>
      </c>
      <c r="D647" s="664">
        <v>16</v>
      </c>
      <c r="E647" t="str">
        <f>IF(OR(Table1[[#This Row],[Type]]=0,Table1[[#This Row],[Type]]&gt;=40),"JA","SD")</f>
        <v>SD</v>
      </c>
      <c r="F647" t="s">
        <v>1766</v>
      </c>
      <c r="G647" s="661" t="s">
        <v>2674</v>
      </c>
      <c r="J647" s="653" t="str">
        <f>IFERROR(VLOOKUP(ROWS($J$2:J647),$A$2:$B$996,2,FALSE),"")</f>
        <v/>
      </c>
    </row>
    <row r="648" spans="1:10" x14ac:dyDescent="0.2">
      <c r="A648">
        <f>IF(ISNUMBER(SEARCH(Cover!$H$13,Table1[[#This Row],[School District]])),MAX($A$1:A647)+1,0)</f>
        <v>0</v>
      </c>
      <c r="B648" s="661" t="s">
        <v>1512</v>
      </c>
      <c r="C648" s="1599">
        <v>7016123002</v>
      </c>
      <c r="D648" s="664">
        <v>2</v>
      </c>
      <c r="E648" t="str">
        <f>IF(OR(Table1[[#This Row],[Type]]=0,Table1[[#This Row],[Type]]&gt;=40),"JA","SD")</f>
        <v>SD</v>
      </c>
      <c r="F648" t="s">
        <v>1766</v>
      </c>
      <c r="G648" s="661" t="s">
        <v>2675</v>
      </c>
      <c r="J648" s="653" t="str">
        <f>IFERROR(VLOOKUP(ROWS($J$2:J648),$A$2:$B$996,2,FALSE),"")</f>
        <v/>
      </c>
    </row>
    <row r="649" spans="1:10" x14ac:dyDescent="0.2">
      <c r="A649">
        <f>IF(ISNUMBER(SEARCH(Cover!$H$13,Table1[[#This Row],[School District]])),MAX($A$1:A648)+1,0)</f>
        <v>0</v>
      </c>
      <c r="B649" s="661" t="s">
        <v>1526</v>
      </c>
      <c r="C649" s="1599">
        <v>6016200013</v>
      </c>
      <c r="D649" s="664">
        <v>13</v>
      </c>
      <c r="E649" t="str">
        <f>IF(OR(Table1[[#This Row],[Type]]=0,Table1[[#This Row],[Type]]&gt;=40),"JA","SD")</f>
        <v>SD</v>
      </c>
      <c r="F649" t="s">
        <v>1766</v>
      </c>
      <c r="G649" s="661" t="s">
        <v>2676</v>
      </c>
      <c r="J649" s="653" t="str">
        <f>IFERROR(VLOOKUP(ROWS($J$2:J649),$A$2:$B$996,2,FALSE),"")</f>
        <v/>
      </c>
    </row>
    <row r="650" spans="1:10" x14ac:dyDescent="0.2">
      <c r="A650">
        <f>IF(ISNUMBER(SEARCH(Cover!$H$13,Table1[[#This Row],[School District]])),MAX($A$1:A649)+1,0)</f>
        <v>0</v>
      </c>
      <c r="B650" s="661" t="s">
        <v>1535</v>
      </c>
      <c r="C650" s="1599">
        <v>6016097002</v>
      </c>
      <c r="D650" s="664">
        <v>2</v>
      </c>
      <c r="E650" t="str">
        <f>IF(OR(Table1[[#This Row],[Type]]=0,Table1[[#This Row],[Type]]&gt;=40),"JA","SD")</f>
        <v>SD</v>
      </c>
      <c r="F650" t="s">
        <v>1766</v>
      </c>
      <c r="G650" s="661" t="s">
        <v>2677</v>
      </c>
      <c r="J650" s="653" t="str">
        <f>IFERROR(VLOOKUP(ROWS($J$2:J650),$A$2:$B$996,2,FALSE),"")</f>
        <v/>
      </c>
    </row>
    <row r="651" spans="1:10" x14ac:dyDescent="0.2">
      <c r="A651">
        <f>IF(ISNUMBER(SEARCH(Cover!$H$13,Table1[[#This Row],[School District]])),MAX($A$1:A650)+1,0)</f>
        <v>0</v>
      </c>
      <c r="B651" s="661" t="s">
        <v>1384</v>
      </c>
      <c r="C651" s="1599">
        <v>13095001004</v>
      </c>
      <c r="D651" s="664">
        <v>4</v>
      </c>
      <c r="E651" t="str">
        <f>IF(OR(Table1[[#This Row],[Type]]=0,Table1[[#This Row],[Type]]&gt;=40),"JA","SD")</f>
        <v>SD</v>
      </c>
      <c r="F651" t="s">
        <v>1785</v>
      </c>
      <c r="G651" s="661" t="s">
        <v>2678</v>
      </c>
      <c r="J651" s="653" t="str">
        <f>IFERROR(VLOOKUP(ROWS($J$2:J651),$A$2:$B$996,2,FALSE),"")</f>
        <v/>
      </c>
    </row>
    <row r="652" spans="1:10" x14ac:dyDescent="0.2">
      <c r="A652">
        <f>IF(ISNUMBER(SEARCH(Cover!$H$13,Table1[[#This Row],[School District]])),MAX($A$1:A651)+1,0)</f>
        <v>0</v>
      </c>
      <c r="B652" s="661" t="s">
        <v>1437</v>
      </c>
      <c r="C652" s="1599">
        <v>11015005026</v>
      </c>
      <c r="D652" s="664">
        <v>26</v>
      </c>
      <c r="E652" t="str">
        <f>IF(OR(Table1[[#This Row],[Type]]=0,Table1[[#This Row],[Type]]&gt;=40),"JA","SD")</f>
        <v>SD</v>
      </c>
      <c r="F652" t="s">
        <v>3272</v>
      </c>
      <c r="G652" s="661" t="s">
        <v>2679</v>
      </c>
      <c r="J652" s="653" t="str">
        <f>IFERROR(VLOOKUP(ROWS($J$2:J652),$A$2:$B$996,2,FALSE),"")</f>
        <v/>
      </c>
    </row>
    <row r="653" spans="1:10" ht="15" customHeight="1" x14ac:dyDescent="0.2">
      <c r="A653">
        <f>IF(ISNUMBER(SEARCH(Cover!$H$13,Table1[[#This Row],[School District]])),MAX($A$1:A652)+1,0)</f>
        <v>0</v>
      </c>
      <c r="B653" s="661" t="s">
        <v>960</v>
      </c>
      <c r="C653" s="1599">
        <v>54092076026</v>
      </c>
      <c r="D653" s="664">
        <v>26</v>
      </c>
      <c r="E653" t="str">
        <f>IF(OR(Table1[[#This Row],[Type]]=0,Table1[[#This Row],[Type]]&gt;=40),"JA","SD")</f>
        <v>SD</v>
      </c>
      <c r="F653" t="s">
        <v>1783</v>
      </c>
      <c r="G653" s="661" t="s">
        <v>2680</v>
      </c>
      <c r="J653" s="653" t="str">
        <f>IFERROR(VLOOKUP(ROWS($J$2:J653),$A$2:$B$996,2,FALSE),"")</f>
        <v/>
      </c>
    </row>
    <row r="654" spans="1:10" x14ac:dyDescent="0.2">
      <c r="A654">
        <f>IF(ISNUMBER(SEARCH(Cover!$H$13,Table1[[#This Row],[School District]])),MAX($A$1:A653)+1,0)</f>
        <v>0</v>
      </c>
      <c r="B654" s="661" t="s">
        <v>1416</v>
      </c>
      <c r="C654" s="1599">
        <v>12017004026</v>
      </c>
      <c r="D654" s="664">
        <v>26</v>
      </c>
      <c r="E654" t="str">
        <f>IF(OR(Table1[[#This Row],[Type]]=0,Table1[[#This Row],[Type]]&gt;=40),"JA","SD")</f>
        <v>SD</v>
      </c>
      <c r="F654" t="s">
        <v>1919</v>
      </c>
      <c r="G654" s="661" t="s">
        <v>2681</v>
      </c>
      <c r="J654" s="653" t="str">
        <f>IFERROR(VLOOKUP(ROWS($J$2:J654),$A$2:$B$996,2,FALSE),"")</f>
        <v/>
      </c>
    </row>
    <row r="655" spans="1:10" ht="15" customHeight="1" x14ac:dyDescent="0.2">
      <c r="A655">
        <f>IF(ISNUMBER(SEARCH(Cover!$H$13,Table1[[#This Row],[School District]])),MAX($A$1:A654)+1,0)</f>
        <v>0</v>
      </c>
      <c r="B655" s="661" t="s">
        <v>1362</v>
      </c>
      <c r="C655" s="1599">
        <v>17053435004</v>
      </c>
      <c r="D655" s="664">
        <v>4</v>
      </c>
      <c r="E655" t="str">
        <f>IF(OR(Table1[[#This Row],[Type]]=0,Table1[[#This Row],[Type]]&gt;=40),"JA","SD")</f>
        <v>SD</v>
      </c>
      <c r="F655" t="s">
        <v>1866</v>
      </c>
      <c r="G655" s="661" t="s">
        <v>2682</v>
      </c>
      <c r="J655" s="653" t="str">
        <f>IFERROR(VLOOKUP(ROWS($J$2:J655),$A$2:$B$996,2,FALSE),"")</f>
        <v/>
      </c>
    </row>
    <row r="656" spans="1:10" x14ac:dyDescent="0.2">
      <c r="A656">
        <f>IF(ISNUMBER(SEARCH(Cover!$H$13,Table1[[#This Row],[School District]])),MAX($A$1:A655)+1,0)</f>
        <v>0</v>
      </c>
      <c r="B656" s="661" t="s">
        <v>1385</v>
      </c>
      <c r="C656" s="1599">
        <v>13058722026</v>
      </c>
      <c r="D656" s="664">
        <v>26</v>
      </c>
      <c r="E656" t="str">
        <f>IF(OR(Table1[[#This Row],[Type]]=0,Table1[[#This Row],[Type]]&gt;=40),"JA","SD")</f>
        <v>SD</v>
      </c>
      <c r="F656" t="s">
        <v>1842</v>
      </c>
      <c r="G656" s="661" t="s">
        <v>2683</v>
      </c>
      <c r="J656" s="653" t="str">
        <f>IFERROR(VLOOKUP(ROWS($J$2:J656),$A$2:$B$996,2,FALSE),"")</f>
        <v/>
      </c>
    </row>
    <row r="657" spans="1:10" x14ac:dyDescent="0.2">
      <c r="A657">
        <f>IF(ISNUMBER(SEARCH(Cover!$H$13,Table1[[#This Row],[School District]])),MAX($A$1:A656)+1,0)</f>
        <v>0</v>
      </c>
      <c r="B657" t="s">
        <v>1717</v>
      </c>
      <c r="C657" s="1599">
        <v>47071801060</v>
      </c>
      <c r="D657" s="664">
        <v>60</v>
      </c>
      <c r="E657" t="str">
        <f>IF(OR(Table1[[#This Row],[Type]]=0,Table1[[#This Row],[Type]]&gt;=40),"JA","SD")</f>
        <v>JA</v>
      </c>
      <c r="F657" t="s">
        <v>1821</v>
      </c>
      <c r="G657" s="661" t="s">
        <v>2684</v>
      </c>
      <c r="J657" s="653" t="str">
        <f>IFERROR(VLOOKUP(ROWS($J$2:J657),$A$2:$B$996,2,FALSE),"")</f>
        <v/>
      </c>
    </row>
    <row r="658" spans="1:10" ht="15" customHeight="1" x14ac:dyDescent="0.2">
      <c r="A658">
        <f>IF(ISNUMBER(SEARCH(Cover!$H$13,Table1[[#This Row],[School District]])),MAX($A$1:A657)+1,0)</f>
        <v>0</v>
      </c>
      <c r="B658" s="661" t="s">
        <v>1135</v>
      </c>
      <c r="C658" s="1599">
        <v>35050125002</v>
      </c>
      <c r="D658" s="664">
        <v>2</v>
      </c>
      <c r="E658" t="str">
        <f>IF(OR(Table1[[#This Row],[Type]]=0,Table1[[#This Row],[Type]]&gt;=40),"JA","SD")</f>
        <v>SD</v>
      </c>
      <c r="F658" t="s">
        <v>3165</v>
      </c>
      <c r="G658" s="661" t="s">
        <v>2685</v>
      </c>
      <c r="J658" s="653" t="str">
        <f>IFERROR(VLOOKUP(ROWS($J$2:J658),$A$2:$B$996,2,FALSE),"")</f>
        <v/>
      </c>
    </row>
    <row r="659" spans="1:10" ht="15" customHeight="1" x14ac:dyDescent="0.2">
      <c r="A659">
        <f>IF(ISNUMBER(SEARCH(Cover!$H$13,Table1[[#This Row],[School District]])),MAX($A$1:A658)+1,0)</f>
        <v>0</v>
      </c>
      <c r="B659" t="s">
        <v>1681</v>
      </c>
      <c r="C659" s="1599">
        <v>20000000046</v>
      </c>
      <c r="D659" s="664">
        <v>46</v>
      </c>
      <c r="E659" t="str">
        <f>IF(OR(Table1[[#This Row],[Type]]=0,Table1[[#This Row],[Type]]&gt;=40),"JA","SD")</f>
        <v>JA</v>
      </c>
      <c r="F659" t="s">
        <v>3297</v>
      </c>
      <c r="G659" s="661" t="s">
        <v>2686</v>
      </c>
      <c r="J659" s="653" t="str">
        <f>IFERROR(VLOOKUP(ROWS($J$2:J659),$A$2:$B$996,2,FALSE),"")</f>
        <v/>
      </c>
    </row>
    <row r="660" spans="1:10" x14ac:dyDescent="0.2">
      <c r="A660">
        <f>IF(ISNUMBER(SEARCH(Cover!$H$13,Table1[[#This Row],[School District]])),MAX($A$1:A659)+1,0)</f>
        <v>0</v>
      </c>
      <c r="B660" s="661" t="s">
        <v>1256</v>
      </c>
      <c r="C660" s="1599">
        <v>28006017004</v>
      </c>
      <c r="D660" s="664">
        <v>4</v>
      </c>
      <c r="E660" t="str">
        <f>IF(OR(Table1[[#This Row],[Type]]=0,Table1[[#This Row],[Type]]&gt;=40),"JA","SD")</f>
        <v>SD</v>
      </c>
      <c r="F660" t="s">
        <v>1818</v>
      </c>
      <c r="G660" s="661" t="s">
        <v>2687</v>
      </c>
      <c r="J660" s="653" t="str">
        <f>IFERROR(VLOOKUP(ROWS($J$2:J660),$A$2:$B$996,2,FALSE),"")</f>
        <v/>
      </c>
    </row>
    <row r="661" spans="1:10" x14ac:dyDescent="0.2">
      <c r="A661">
        <f>IF(ISNUMBER(SEARCH(Cover!$H$13,Table1[[#This Row],[School District]])),MAX($A$1:A660)+1,0)</f>
        <v>0</v>
      </c>
      <c r="B661" s="661" t="s">
        <v>1246</v>
      </c>
      <c r="C661" s="1599">
        <v>28006505016</v>
      </c>
      <c r="D661" s="664">
        <v>16</v>
      </c>
      <c r="E661" t="str">
        <f>IF(OR(Table1[[#This Row],[Type]]=0,Table1[[#This Row],[Type]]&gt;=40),"JA","SD")</f>
        <v>SD</v>
      </c>
      <c r="F661" t="s">
        <v>1818</v>
      </c>
      <c r="G661" s="661" t="s">
        <v>2688</v>
      </c>
      <c r="J661" s="653" t="str">
        <f>IFERROR(VLOOKUP(ROWS($J$2:J661),$A$2:$B$996,2,FALSE),"")</f>
        <v/>
      </c>
    </row>
    <row r="662" spans="1:10" x14ac:dyDescent="0.2">
      <c r="A662">
        <f>IF(ISNUMBER(SEARCH(Cover!$H$13,Table1[[#This Row],[School District]])),MAX($A$1:A661)+1,0)</f>
        <v>0</v>
      </c>
      <c r="B662" t="s">
        <v>1640</v>
      </c>
      <c r="C662" s="1599">
        <v>3026203041</v>
      </c>
      <c r="D662" s="664">
        <v>41</v>
      </c>
      <c r="E662" t="str">
        <f>IF(OR(Table1[[#This Row],[Type]]=0,Table1[[#This Row],[Type]]&gt;=40),"JA","SD")</f>
        <v>JA</v>
      </c>
      <c r="F662" t="s">
        <v>3215</v>
      </c>
      <c r="G662" s="661" t="s">
        <v>2689</v>
      </c>
      <c r="J662" s="653" t="str">
        <f>IFERROR(VLOOKUP(ROWS($J$2:J662),$A$2:$B$996,2,FALSE),"")</f>
        <v/>
      </c>
    </row>
    <row r="663" spans="1:10" x14ac:dyDescent="0.2">
      <c r="A663">
        <f>IF(ISNUMBER(SEARCH(Cover!$H$13,Table1[[#This Row],[School District]])),MAX($A$1:A662)+1,0)</f>
        <v>0</v>
      </c>
      <c r="B663" t="s">
        <v>1971</v>
      </c>
      <c r="C663" s="1599">
        <v>45000000046</v>
      </c>
      <c r="D663" s="664">
        <v>46</v>
      </c>
      <c r="E663" t="str">
        <f>IF(OR(Table1[[#This Row],[Type]]=0,Table1[[#This Row],[Type]]&gt;=40),"JA","SD")</f>
        <v>JA</v>
      </c>
      <c r="F663" t="s">
        <v>3273</v>
      </c>
      <c r="G663" s="661" t="s">
        <v>2690</v>
      </c>
      <c r="J663" s="653" t="str">
        <f>IFERROR(VLOOKUP(ROWS($J$2:J663),$A$2:$B$996,2,FALSE),"")</f>
        <v/>
      </c>
    </row>
    <row r="664" spans="1:10" x14ac:dyDescent="0.2">
      <c r="A664">
        <f>IF(ISNUMBER(SEARCH(Cover!$H$13,Table1[[#This Row],[School District]])),MAX($A$1:A663)+1,0)</f>
        <v>0</v>
      </c>
      <c r="B664" s="661" t="s">
        <v>1425</v>
      </c>
      <c r="C664" s="1599">
        <v>11070302026</v>
      </c>
      <c r="D664" s="664">
        <v>26</v>
      </c>
      <c r="E664" t="str">
        <f>IF(OR(Table1[[#This Row],[Type]]=0,Table1[[#This Row],[Type]]&gt;=40),"JA","SD")</f>
        <v>SD</v>
      </c>
      <c r="F664" t="s">
        <v>3216</v>
      </c>
      <c r="G664" s="661" t="s">
        <v>2691</v>
      </c>
      <c r="J664" s="653" t="str">
        <f>IFERROR(VLOOKUP(ROWS($J$2:J664),$A$2:$B$996,2,FALSE),"")</f>
        <v/>
      </c>
    </row>
    <row r="665" spans="1:10" x14ac:dyDescent="0.2">
      <c r="A665">
        <f>IF(ISNUMBER(SEARCH(Cover!$H$13,Table1[[#This Row],[School District]])),MAX($A$1:A664)+1,0)</f>
        <v>0</v>
      </c>
      <c r="B665" s="661" t="s">
        <v>1351</v>
      </c>
      <c r="C665" s="1599">
        <v>17064016026</v>
      </c>
      <c r="D665" s="664">
        <v>26</v>
      </c>
      <c r="E665" t="str">
        <f>IF(OR(Table1[[#This Row],[Type]]=0,Table1[[#This Row],[Type]]&gt;=40),"JA","SD")</f>
        <v>SD</v>
      </c>
      <c r="F665" t="s">
        <v>3217</v>
      </c>
      <c r="G665" s="661" t="s">
        <v>2692</v>
      </c>
      <c r="J665" s="653" t="str">
        <f>IFERROR(VLOOKUP(ROWS($J$2:J665),$A$2:$B$996,2,FALSE),"")</f>
        <v/>
      </c>
    </row>
    <row r="666" spans="1:10" x14ac:dyDescent="0.2">
      <c r="A666">
        <f>IF(ISNUMBER(SEARCH(Cover!$H$13,Table1[[#This Row],[School District]])),MAX($A$1:A665)+1,0)</f>
        <v>0</v>
      </c>
      <c r="B666" s="661" t="s">
        <v>1401</v>
      </c>
      <c r="C666" s="1599">
        <v>13041005004</v>
      </c>
      <c r="D666" s="664">
        <v>4</v>
      </c>
      <c r="E666" t="str">
        <f>IF(OR(Table1[[#This Row],[Type]]=0,Table1[[#This Row],[Type]]&gt;=40),"JA","SD")</f>
        <v>SD</v>
      </c>
      <c r="F666" t="s">
        <v>1797</v>
      </c>
      <c r="G666" s="661" t="s">
        <v>2693</v>
      </c>
      <c r="J666" s="653" t="str">
        <f>IFERROR(VLOOKUP(ROWS($J$2:J666),$A$2:$B$996,2,FALSE),"")</f>
        <v/>
      </c>
    </row>
    <row r="667" spans="1:10" x14ac:dyDescent="0.2">
      <c r="A667">
        <f>IF(ISNUMBER(SEARCH(Cover!$H$13,Table1[[#This Row],[School District]])),MAX($A$1:A666)+1,0)</f>
        <v>0</v>
      </c>
      <c r="B667" s="661" t="s">
        <v>1452</v>
      </c>
      <c r="C667" s="1599">
        <v>8089203026</v>
      </c>
      <c r="D667" s="664">
        <v>26</v>
      </c>
      <c r="E667" t="str">
        <f>IF(OR(Table1[[#This Row],[Type]]=0,Table1[[#This Row],[Type]]&gt;=40),"JA","SD")</f>
        <v>SD</v>
      </c>
      <c r="F667" t="s">
        <v>1870</v>
      </c>
      <c r="G667" s="661" t="s">
        <v>2694</v>
      </c>
      <c r="J667" s="653" t="str">
        <f>IFERROR(VLOOKUP(ROWS($J$2:J667),$A$2:$B$996,2,FALSE),"")</f>
        <v/>
      </c>
    </row>
    <row r="668" spans="1:10" x14ac:dyDescent="0.2">
      <c r="A668">
        <f>IF(ISNUMBER(SEARCH(Cover!$H$13,Table1[[#This Row],[School District]])),MAX($A$1:A667)+1,0)</f>
        <v>0</v>
      </c>
      <c r="B668" s="661" t="s">
        <v>1063</v>
      </c>
      <c r="C668" s="1599">
        <v>47071220026</v>
      </c>
      <c r="D668" s="664">
        <v>26</v>
      </c>
      <c r="E668" t="str">
        <f>IF(OR(Table1[[#This Row],[Type]]=0,Table1[[#This Row],[Type]]&gt;=40),"JA","SD")</f>
        <v>SD</v>
      </c>
      <c r="F668" t="s">
        <v>1821</v>
      </c>
      <c r="G668" s="661" t="s">
        <v>2695</v>
      </c>
      <c r="J668" s="653" t="str">
        <f>IFERROR(VLOOKUP(ROWS($J$2:J668),$A$2:$B$996,2,FALSE),"")</f>
        <v/>
      </c>
    </row>
    <row r="669" spans="1:10" x14ac:dyDescent="0.2">
      <c r="A669">
        <f>IF(ISNUMBER(SEARCH(Cover!$H$13,Table1[[#This Row],[School District]])),MAX($A$1:A668)+1,0)</f>
        <v>0</v>
      </c>
      <c r="B669" s="661" t="s">
        <v>1244</v>
      </c>
      <c r="C669" s="1599">
        <v>28037223026</v>
      </c>
      <c r="D669" s="664">
        <v>26</v>
      </c>
      <c r="E669" t="str">
        <f>IF(OR(Table1[[#This Row],[Type]]=0,Table1[[#This Row],[Type]]&gt;=40),"JA","SD")</f>
        <v>SD</v>
      </c>
      <c r="F669" t="s">
        <v>3218</v>
      </c>
      <c r="G669" s="661" t="s">
        <v>2696</v>
      </c>
      <c r="J669" s="653" t="str">
        <f>IFERROR(VLOOKUP(ROWS($J$2:J669),$A$2:$B$996,2,FALSE),"")</f>
        <v/>
      </c>
    </row>
    <row r="670" spans="1:10" x14ac:dyDescent="0.2">
      <c r="A670">
        <f>IF(ISNUMBER(SEARCH(Cover!$H$13,Table1[[#This Row],[School District]])),MAX($A$1:A669)+1,0)</f>
        <v>0</v>
      </c>
      <c r="B670" s="661" t="s">
        <v>1505</v>
      </c>
      <c r="C670" s="1599">
        <v>7016135002</v>
      </c>
      <c r="D670" s="664">
        <v>2</v>
      </c>
      <c r="E670" t="str">
        <f>IF(OR(Table1[[#This Row],[Type]]=0,Table1[[#This Row],[Type]]&gt;=40),"JA","SD")</f>
        <v>SD</v>
      </c>
      <c r="F670" t="s">
        <v>1766</v>
      </c>
      <c r="G670" s="661" t="s">
        <v>2697</v>
      </c>
      <c r="J670" s="653" t="str">
        <f>IFERROR(VLOOKUP(ROWS($J$2:J670),$A$2:$B$996,2,FALSE),"")</f>
        <v/>
      </c>
    </row>
    <row r="671" spans="1:10" x14ac:dyDescent="0.2">
      <c r="A671">
        <f>IF(ISNUMBER(SEARCH(Cover!$H$13,Table1[[#This Row],[School District]])),MAX($A$1:A670)+1,0)</f>
        <v>0</v>
      </c>
      <c r="B671" s="661" t="s">
        <v>1133</v>
      </c>
      <c r="C671" s="1599">
        <v>35050141002</v>
      </c>
      <c r="D671" s="664">
        <v>2</v>
      </c>
      <c r="E671" t="str">
        <f>IF(OR(Table1[[#This Row],[Type]]=0,Table1[[#This Row],[Type]]&gt;=40),"JA","SD")</f>
        <v>SD</v>
      </c>
      <c r="F671" t="s">
        <v>3165</v>
      </c>
      <c r="G671" s="661" t="s">
        <v>2698</v>
      </c>
      <c r="J671" s="653" t="str">
        <f>IFERROR(VLOOKUP(ROWS($J$2:J671),$A$2:$B$996,2,FALSE),"")</f>
        <v/>
      </c>
    </row>
    <row r="672" spans="1:10" x14ac:dyDescent="0.2">
      <c r="A672">
        <f>IF(ISNUMBER(SEARCH(Cover!$H$13,Table1[[#This Row],[School District]])),MAX($A$1:A671)+1,0)</f>
        <v>0</v>
      </c>
      <c r="B672" s="661" t="s">
        <v>1134</v>
      </c>
      <c r="C672" s="1599">
        <v>35050140017</v>
      </c>
      <c r="D672" s="664">
        <v>17</v>
      </c>
      <c r="E672" t="str">
        <f>IF(OR(Table1[[#This Row],[Type]]=0,Table1[[#This Row],[Type]]&gt;=40),"JA","SD")</f>
        <v>SD</v>
      </c>
      <c r="F672" t="s">
        <v>3165</v>
      </c>
      <c r="G672" s="661" t="s">
        <v>2699</v>
      </c>
      <c r="J672" s="653" t="str">
        <f>IFERROR(VLOOKUP(ROWS($J$2:J672),$A$2:$B$996,2,FALSE),"")</f>
        <v/>
      </c>
    </row>
    <row r="673" spans="1:10" x14ac:dyDescent="0.2">
      <c r="A673">
        <f>IF(ISNUMBER(SEARCH(Cover!$H$13,Table1[[#This Row],[School District]])),MAX($A$1:A672)+1,0)</f>
        <v>0</v>
      </c>
      <c r="B673" s="661" t="s">
        <v>1587</v>
      </c>
      <c r="C673" s="1599">
        <v>5016015004</v>
      </c>
      <c r="D673" s="664">
        <v>4</v>
      </c>
      <c r="E673" t="str">
        <f>IF(OR(Table1[[#This Row],[Type]]=0,Table1[[#This Row],[Type]]&gt;=40),"JA","SD")</f>
        <v>SD</v>
      </c>
      <c r="F673" t="s">
        <v>1766</v>
      </c>
      <c r="G673" s="661" t="s">
        <v>2700</v>
      </c>
      <c r="J673" s="653" t="str">
        <f>IFERROR(VLOOKUP(ROWS($J$2:J673),$A$2:$B$996,2,FALSE),"")</f>
        <v/>
      </c>
    </row>
    <row r="674" spans="1:10" x14ac:dyDescent="0.2">
      <c r="A674">
        <f>IF(ISNUMBER(SEARCH(Cover!$H$13,Table1[[#This Row],[School District]])),MAX($A$1:A673)+1,0)</f>
        <v>0</v>
      </c>
      <c r="B674" s="661" t="s">
        <v>1417</v>
      </c>
      <c r="C674" s="1599">
        <v>12017003026</v>
      </c>
      <c r="D674" s="664">
        <v>26</v>
      </c>
      <c r="E674" t="str">
        <f>IF(OR(Table1[[#This Row],[Type]]=0,Table1[[#This Row],[Type]]&gt;=40),"JA","SD")</f>
        <v>SD</v>
      </c>
      <c r="F674" t="s">
        <v>1919</v>
      </c>
      <c r="G674" s="661" t="s">
        <v>2701</v>
      </c>
      <c r="J674" s="653" t="str">
        <f>IFERROR(VLOOKUP(ROWS($J$2:J674),$A$2:$B$996,2,FALSE),"")</f>
        <v/>
      </c>
    </row>
    <row r="675" spans="1:10" x14ac:dyDescent="0.2">
      <c r="A675">
        <f>IF(ISNUMBER(SEARCH(Cover!$H$13,Table1[[#This Row],[School District]])),MAX($A$1:A674)+1,0)</f>
        <v>0</v>
      </c>
      <c r="B675" s="661" t="s">
        <v>1514</v>
      </c>
      <c r="C675" s="1599">
        <v>7016118004</v>
      </c>
      <c r="D675" s="664">
        <v>4</v>
      </c>
      <c r="E675" t="str">
        <f>IF(OR(Table1[[#This Row],[Type]]=0,Table1[[#This Row],[Type]]&gt;=40),"JA","SD")</f>
        <v>SD</v>
      </c>
      <c r="F675" t="s">
        <v>1766</v>
      </c>
      <c r="G675" s="661" t="s">
        <v>2702</v>
      </c>
      <c r="J675" s="653" t="str">
        <f>IFERROR(VLOOKUP(ROWS($J$2:J675),$A$2:$B$996,2,FALSE),"")</f>
        <v/>
      </c>
    </row>
    <row r="676" spans="1:10" x14ac:dyDescent="0.2">
      <c r="A676">
        <f>IF(ISNUMBER(SEARCH(Cover!$H$13,Table1[[#This Row],[School District]])),MAX($A$1:A675)+1,0)</f>
        <v>0</v>
      </c>
      <c r="B676" s="661" t="s">
        <v>1507</v>
      </c>
      <c r="C676" s="1599">
        <v>7016128002</v>
      </c>
      <c r="D676" s="664">
        <v>2</v>
      </c>
      <c r="E676" t="str">
        <f>IF(OR(Table1[[#This Row],[Type]]=0,Table1[[#This Row],[Type]]&gt;=40),"JA","SD")</f>
        <v>SD</v>
      </c>
      <c r="F676" t="s">
        <v>1766</v>
      </c>
      <c r="G676" s="661" t="s">
        <v>2703</v>
      </c>
      <c r="J676" s="653" t="str">
        <f>IFERROR(VLOOKUP(ROWS($J$2:J676),$A$2:$B$996,2,FALSE),"")</f>
        <v/>
      </c>
    </row>
    <row r="677" spans="1:10" x14ac:dyDescent="0.2">
      <c r="A677">
        <f>IF(ISNUMBER(SEARCH(Cover!$H$13,Table1[[#This Row],[School District]])),MAX($A$1:A676)+1,0)</f>
        <v>0</v>
      </c>
      <c r="B677" s="661" t="s">
        <v>1612</v>
      </c>
      <c r="C677" s="1599">
        <v>3011008026</v>
      </c>
      <c r="D677" s="664">
        <v>26</v>
      </c>
      <c r="E677" t="str">
        <f>IF(OR(Table1[[#This Row],[Type]]=0,Table1[[#This Row],[Type]]&gt;=40),"JA","SD")</f>
        <v>SD</v>
      </c>
      <c r="F677" t="s">
        <v>3219</v>
      </c>
      <c r="G677" s="661" t="s">
        <v>2704</v>
      </c>
      <c r="J677" s="653" t="str">
        <f>IFERROR(VLOOKUP(ROWS($J$2:J677),$A$2:$B$996,2,FALSE),"")</f>
        <v/>
      </c>
    </row>
    <row r="678" spans="1:10" x14ac:dyDescent="0.2">
      <c r="A678">
        <f>IF(ISNUMBER(SEARCH(Cover!$H$13,Table1[[#This Row],[School District]])),MAX($A$1:A677)+1,0)</f>
        <v>0</v>
      </c>
      <c r="B678" s="661" t="s">
        <v>1601</v>
      </c>
      <c r="C678" s="1599">
        <v>3068002026</v>
      </c>
      <c r="D678" s="664">
        <v>26</v>
      </c>
      <c r="E678" t="str">
        <f>IF(OR(Table1[[#This Row],[Type]]=0,Table1[[#This Row],[Type]]&gt;=40),"JA","SD")</f>
        <v>SD</v>
      </c>
      <c r="F678" t="s">
        <v>3220</v>
      </c>
      <c r="G678" s="661" t="s">
        <v>2705</v>
      </c>
      <c r="J678" s="653" t="str">
        <f>IFERROR(VLOOKUP(ROWS($J$2:J678),$A$2:$B$996,2,FALSE),"")</f>
        <v/>
      </c>
    </row>
    <row r="679" spans="1:10" x14ac:dyDescent="0.2">
      <c r="A679">
        <f>IF(ISNUMBER(SEARCH(Cover!$H$13,Table1[[#This Row],[School District]])),MAX($A$1:A678)+1,0)</f>
        <v>0</v>
      </c>
      <c r="B679" s="661" t="s">
        <v>1428</v>
      </c>
      <c r="C679" s="1599">
        <v>11023004026</v>
      </c>
      <c r="D679" s="664">
        <v>26</v>
      </c>
      <c r="E679" t="str">
        <f>IF(OR(Table1[[#This Row],[Type]]=0,Table1[[#This Row],[Type]]&gt;=40),"JA","SD")</f>
        <v>SD</v>
      </c>
      <c r="F679" t="s">
        <v>1888</v>
      </c>
      <c r="G679" s="661" t="s">
        <v>2706</v>
      </c>
      <c r="J679" s="653" t="str">
        <f>IFERROR(VLOOKUP(ROWS($J$2:J679),$A$2:$B$996,2,FALSE),"")</f>
        <v/>
      </c>
    </row>
    <row r="680" spans="1:10" x14ac:dyDescent="0.2">
      <c r="A680">
        <f>IF(ISNUMBER(SEARCH(Cover!$H$13,Table1[[#This Row],[School District]])),MAX($A$1:A679)+1,0)</f>
        <v>0</v>
      </c>
      <c r="B680" s="661" t="s">
        <v>1427</v>
      </c>
      <c r="C680" s="1599">
        <v>11023095025</v>
      </c>
      <c r="D680" s="664">
        <v>25</v>
      </c>
      <c r="E680" t="str">
        <f>IF(OR(Table1[[#This Row],[Type]]=0,Table1[[#This Row],[Type]]&gt;=40),"JA","SD")</f>
        <v>SD</v>
      </c>
      <c r="F680" t="s">
        <v>1888</v>
      </c>
      <c r="G680" s="661" t="s">
        <v>2707</v>
      </c>
      <c r="J680" s="653" t="str">
        <f>IFERROR(VLOOKUP(ROWS($J$2:J680),$A$2:$B$996,2,FALSE),"")</f>
        <v/>
      </c>
    </row>
    <row r="681" spans="1:10" x14ac:dyDescent="0.2">
      <c r="A681">
        <f>IF(ISNUMBER(SEARCH(Cover!$H$13,Table1[[#This Row],[School District]])),MAX($A$1:A680)+1,0)</f>
        <v>0</v>
      </c>
      <c r="B681" s="661" t="s">
        <v>1480</v>
      </c>
      <c r="C681" s="1599">
        <v>7016163002</v>
      </c>
      <c r="D681" s="664">
        <v>2</v>
      </c>
      <c r="E681" t="str">
        <f>IF(OR(Table1[[#This Row],[Type]]=0,Table1[[#This Row],[Type]]&gt;=40),"JA","SD")</f>
        <v>SD</v>
      </c>
      <c r="F681" t="s">
        <v>1766</v>
      </c>
      <c r="G681" s="661" t="s">
        <v>2708</v>
      </c>
      <c r="J681" s="653" t="str">
        <f>IFERROR(VLOOKUP(ROWS($J$2:J681),$A$2:$B$996,2,FALSE),"")</f>
        <v/>
      </c>
    </row>
    <row r="682" spans="1:10" x14ac:dyDescent="0.2">
      <c r="A682">
        <f>IF(ISNUMBER(SEARCH(Cover!$H$13,Table1[[#This Row],[School District]])),MAX($A$1:A681)+1,0)</f>
        <v>0</v>
      </c>
      <c r="B682" s="661" t="s">
        <v>1569</v>
      </c>
      <c r="C682" s="1599">
        <v>5016064004</v>
      </c>
      <c r="D682" s="664">
        <v>4</v>
      </c>
      <c r="E682" t="str">
        <f>IF(OR(Table1[[#This Row],[Type]]=0,Table1[[#This Row],[Type]]&gt;=40),"JA","SD")</f>
        <v>SD</v>
      </c>
      <c r="F682" t="s">
        <v>1766</v>
      </c>
      <c r="G682" s="661" t="s">
        <v>2709</v>
      </c>
      <c r="J682" s="653" t="str">
        <f>IFERROR(VLOOKUP(ROWS($J$2:J682),$A$2:$B$996,2,FALSE),"")</f>
        <v/>
      </c>
    </row>
    <row r="683" spans="1:10" x14ac:dyDescent="0.2">
      <c r="A683">
        <f>IF(ISNUMBER(SEARCH(Cover!$H$13,Table1[[#This Row],[School District]])),MAX($A$1:A682)+1,0)</f>
        <v>0</v>
      </c>
      <c r="B683" s="661" t="s">
        <v>1392</v>
      </c>
      <c r="C683" s="1599">
        <v>13058100026</v>
      </c>
      <c r="D683" s="664">
        <v>26</v>
      </c>
      <c r="E683" t="str">
        <f>IF(OR(Table1[[#This Row],[Type]]=0,Table1[[#This Row],[Type]]&gt;=40),"JA","SD")</f>
        <v>SD</v>
      </c>
      <c r="F683" t="s">
        <v>3221</v>
      </c>
      <c r="G683" s="661" t="s">
        <v>2710</v>
      </c>
      <c r="J683" s="653" t="str">
        <f>IFERROR(VLOOKUP(ROWS($J$2:J683),$A$2:$B$996,2,FALSE),"")</f>
        <v/>
      </c>
    </row>
    <row r="684" spans="1:10" x14ac:dyDescent="0.2">
      <c r="A684">
        <f>IF(ISNUMBER(SEARCH(Cover!$H$13,Table1[[#This Row],[School District]])),MAX($A$1:A683)+1,0)</f>
        <v>0</v>
      </c>
      <c r="B684" s="661" t="s">
        <v>1068</v>
      </c>
      <c r="C684" s="1599">
        <v>47052271026</v>
      </c>
      <c r="D684" s="664">
        <v>26</v>
      </c>
      <c r="E684" t="str">
        <f>IF(OR(Table1[[#This Row],[Type]]=0,Table1[[#This Row],[Type]]&gt;=40),"JA","SD")</f>
        <v>SD</v>
      </c>
      <c r="F684" t="s">
        <v>1777</v>
      </c>
      <c r="G684" s="661" t="s">
        <v>2711</v>
      </c>
      <c r="J684" s="653" t="str">
        <f>IFERROR(VLOOKUP(ROWS($J$2:J684),$A$2:$B$996,2,FALSE),"")</f>
        <v/>
      </c>
    </row>
    <row r="685" spans="1:10" x14ac:dyDescent="0.2">
      <c r="A685">
        <f>IF(ISNUMBER(SEARCH(Cover!$H$13,Table1[[#This Row],[School District]])),MAX($A$1:A684)+1,0)</f>
        <v>0</v>
      </c>
      <c r="B685" s="661" t="s">
        <v>995</v>
      </c>
      <c r="C685" s="1599">
        <v>51084011026</v>
      </c>
      <c r="D685" s="664">
        <v>26</v>
      </c>
      <c r="E685" t="str">
        <f>IF(OR(Table1[[#This Row],[Type]]=0,Table1[[#This Row],[Type]]&gt;=40),"JA","SD")</f>
        <v>SD</v>
      </c>
      <c r="F685" t="s">
        <v>3274</v>
      </c>
      <c r="G685" s="661" t="s">
        <v>2712</v>
      </c>
      <c r="J685" s="653" t="str">
        <f>IFERROR(VLOOKUP(ROWS($J$2:J685),$A$2:$B$996,2,FALSE),"")</f>
        <v/>
      </c>
    </row>
    <row r="686" spans="1:10" x14ac:dyDescent="0.2">
      <c r="A686">
        <f>IF(ISNUMBER(SEARCH(Cover!$H$13,Table1[[#This Row],[School District]])),MAX($A$1:A685)+1,0)</f>
        <v>0</v>
      </c>
      <c r="B686" s="661" t="s">
        <v>1440</v>
      </c>
      <c r="C686" s="1599">
        <v>9027010026</v>
      </c>
      <c r="D686" s="664">
        <v>26</v>
      </c>
      <c r="E686" t="str">
        <f>IF(OR(Table1[[#This Row],[Type]]=0,Table1[[#This Row],[Type]]&gt;=40),"JA","SD")</f>
        <v>SD</v>
      </c>
      <c r="F686" t="s">
        <v>1897</v>
      </c>
      <c r="G686" s="661" t="s">
        <v>2713</v>
      </c>
      <c r="J686" s="653" t="str">
        <f>IFERROR(VLOOKUP(ROWS($J$2:J686),$A$2:$B$996,2,FALSE),"")</f>
        <v/>
      </c>
    </row>
    <row r="687" spans="1:10" x14ac:dyDescent="0.2">
      <c r="A687">
        <f>IF(ISNUMBER(SEARCH(Cover!$H$13,Table1[[#This Row],[School District]])),MAX($A$1:A686)+1,0)</f>
        <v>0</v>
      </c>
      <c r="B687" s="661" t="s">
        <v>1632</v>
      </c>
      <c r="C687" s="1599">
        <v>1001001026</v>
      </c>
      <c r="D687" s="664">
        <v>26</v>
      </c>
      <c r="E687" t="str">
        <f>IF(OR(Table1[[#This Row],[Type]]=0,Table1[[#This Row],[Type]]&gt;=40),"JA","SD")</f>
        <v>SD</v>
      </c>
      <c r="F687" t="s">
        <v>1843</v>
      </c>
      <c r="G687" s="661" t="s">
        <v>2714</v>
      </c>
      <c r="J687" s="653" t="str">
        <f>IFERROR(VLOOKUP(ROWS($J$2:J687),$A$2:$B$996,2,FALSE),"")</f>
        <v/>
      </c>
    </row>
    <row r="688" spans="1:10" x14ac:dyDescent="0.2">
      <c r="A688">
        <f>IF(ISNUMBER(SEARCH(Cover!$H$13,Table1[[#This Row],[School District]])),MAX($A$1:A687)+1,0)</f>
        <v>0</v>
      </c>
      <c r="B688" s="661" t="s">
        <v>1454</v>
      </c>
      <c r="C688" s="1599">
        <v>8089200026</v>
      </c>
      <c r="D688" s="664">
        <v>26</v>
      </c>
      <c r="E688" t="str">
        <f>IF(OR(Table1[[#This Row],[Type]]=0,Table1[[#This Row],[Type]]&gt;=40),"JA","SD")</f>
        <v>SD</v>
      </c>
      <c r="F688" t="s">
        <v>3222</v>
      </c>
      <c r="G688" s="661" t="s">
        <v>2715</v>
      </c>
      <c r="J688" s="653" t="str">
        <f>IFERROR(VLOOKUP(ROWS($J$2:J688),$A$2:$B$996,2,FALSE),"")</f>
        <v/>
      </c>
    </row>
    <row r="689" spans="1:10" x14ac:dyDescent="0.2">
      <c r="A689">
        <f>IF(ISNUMBER(SEARCH(Cover!$H$13,Table1[[#This Row],[School District]])),MAX($A$1:A688)+1,0)</f>
        <v>0</v>
      </c>
      <c r="B689" s="661" t="s">
        <v>1590</v>
      </c>
      <c r="C689" s="1599">
        <v>4101321026</v>
      </c>
      <c r="D689" s="664">
        <v>26</v>
      </c>
      <c r="E689" t="str">
        <f>IF(OR(Table1[[#This Row],[Type]]=0,Table1[[#This Row],[Type]]&gt;=40),"JA","SD")</f>
        <v>SD</v>
      </c>
      <c r="F689" t="s">
        <v>1828</v>
      </c>
      <c r="G689" s="661" t="s">
        <v>2716</v>
      </c>
      <c r="J689" s="653" t="str">
        <f>IFERROR(VLOOKUP(ROWS($J$2:J689),$A$2:$B$996,2,FALSE),"")</f>
        <v/>
      </c>
    </row>
    <row r="690" spans="1:10" x14ac:dyDescent="0.2">
      <c r="A690">
        <f>IF(ISNUMBER(SEARCH(Cover!$H$13,Table1[[#This Row],[School District]])),MAX($A$1:A689)+1,0)</f>
        <v>0</v>
      </c>
      <c r="B690" s="661" t="s">
        <v>1972</v>
      </c>
      <c r="C690" s="1599">
        <v>53090303016</v>
      </c>
      <c r="D690" s="664">
        <v>16</v>
      </c>
      <c r="E690" t="str">
        <f>IF(OR(Table1[[#This Row],[Type]]=0,Table1[[#This Row],[Type]]&gt;=40),"JA","SD")</f>
        <v>SD</v>
      </c>
      <c r="F690" t="s">
        <v>1847</v>
      </c>
      <c r="G690" s="661" t="s">
        <v>2717</v>
      </c>
      <c r="J690" s="653" t="str">
        <f>IFERROR(VLOOKUP(ROWS($J$2:J690),$A$2:$B$996,2,FALSE),"")</f>
        <v/>
      </c>
    </row>
    <row r="691" spans="1:10" ht="15" customHeight="1" x14ac:dyDescent="0.2">
      <c r="A691">
        <f>IF(ISNUMBER(SEARCH(Cover!$H$13,Table1[[#This Row],[School District]])),MAX($A$1:A690)+1,0)</f>
        <v>0</v>
      </c>
      <c r="B691" s="661" t="s">
        <v>980</v>
      </c>
      <c r="C691" s="1599">
        <v>53090108002</v>
      </c>
      <c r="D691" s="664">
        <v>2</v>
      </c>
      <c r="E691" t="str">
        <f>IF(OR(Table1[[#This Row],[Type]]=0,Table1[[#This Row],[Type]]&gt;=40),"JA","SD")</f>
        <v>SD</v>
      </c>
      <c r="F691" t="s">
        <v>1847</v>
      </c>
      <c r="G691" s="661" t="s">
        <v>2718</v>
      </c>
      <c r="J691" s="653" t="str">
        <f>IFERROR(VLOOKUP(ROWS($J$2:J691),$A$2:$B$996,2,FALSE),"")</f>
        <v/>
      </c>
    </row>
    <row r="692" spans="1:10" x14ac:dyDescent="0.2">
      <c r="A692">
        <f>IF(ISNUMBER(SEARCH(Cover!$H$13,Table1[[#This Row],[School District]])),MAX($A$1:A691)+1,0)</f>
        <v>0</v>
      </c>
      <c r="B692" s="661" t="s">
        <v>1197</v>
      </c>
      <c r="C692" s="1599">
        <v>32046259004</v>
      </c>
      <c r="D692" s="664">
        <v>4</v>
      </c>
      <c r="E692" t="str">
        <f>IF(OR(Table1[[#This Row],[Type]]=0,Table1[[#This Row],[Type]]&gt;=40),"JA","SD")</f>
        <v>SD</v>
      </c>
      <c r="F692" t="s">
        <v>1808</v>
      </c>
      <c r="G692" s="661" t="s">
        <v>2719</v>
      </c>
      <c r="J692" s="653" t="str">
        <f>IFERROR(VLOOKUP(ROWS($J$2:J692),$A$2:$B$996,2,FALSE),"")</f>
        <v/>
      </c>
    </row>
    <row r="693" spans="1:10" x14ac:dyDescent="0.2">
      <c r="A693">
        <f>IF(ISNUMBER(SEARCH(Cover!$H$13,Table1[[#This Row],[School District]])),MAX($A$1:A692)+1,0)</f>
        <v>0</v>
      </c>
      <c r="B693" s="661" t="s">
        <v>1553</v>
      </c>
      <c r="C693" s="1599">
        <v>6016079002</v>
      </c>
      <c r="D693" s="664">
        <v>2</v>
      </c>
      <c r="E693" t="str">
        <f>IF(OR(Table1[[#This Row],[Type]]=0,Table1[[#This Row],[Type]]&gt;=40),"JA","SD")</f>
        <v>SD</v>
      </c>
      <c r="F693" t="s">
        <v>1766</v>
      </c>
      <c r="G693" s="661" t="s">
        <v>2720</v>
      </c>
      <c r="J693" s="653" t="str">
        <f>IFERROR(VLOOKUP(ROWS($J$2:J693),$A$2:$B$996,2,FALSE),"")</f>
        <v/>
      </c>
    </row>
    <row r="694" spans="1:10" x14ac:dyDescent="0.2">
      <c r="A694">
        <f>IF(ISNUMBER(SEARCH(Cover!$H$13,Table1[[#This Row],[School District]])),MAX($A$1:A693)+1,0)</f>
        <v>0</v>
      </c>
      <c r="B694" t="s">
        <v>1719</v>
      </c>
      <c r="C694" s="1599">
        <v>48000000046</v>
      </c>
      <c r="D694" s="664">
        <v>46</v>
      </c>
      <c r="E694" t="str">
        <f>IF(OR(Table1[[#This Row],[Type]]=0,Table1[[#This Row],[Type]]&gt;=40),"JA","SD")</f>
        <v>JA</v>
      </c>
      <c r="F694" t="s">
        <v>1790</v>
      </c>
      <c r="G694" s="661" t="s">
        <v>2721</v>
      </c>
      <c r="J694" s="653" t="str">
        <f>IFERROR(VLOOKUP(ROWS($J$2:J694),$A$2:$B$996,2,FALSE),"")</f>
        <v/>
      </c>
    </row>
    <row r="695" spans="1:10" ht="15" customHeight="1" x14ac:dyDescent="0.2">
      <c r="A695">
        <f>IF(ISNUMBER(SEARCH(Cover!$H$13,Table1[[#This Row],[School District]])),MAX($A$1:A694)+1,0)</f>
        <v>0</v>
      </c>
      <c r="B695" s="661" t="s">
        <v>1037</v>
      </c>
      <c r="C695" s="1599">
        <v>48072325026</v>
      </c>
      <c r="D695" s="664">
        <v>26</v>
      </c>
      <c r="E695" t="str">
        <f>IF(OR(Table1[[#This Row],[Type]]=0,Table1[[#This Row],[Type]]&gt;=40),"JA","SD")</f>
        <v>SD</v>
      </c>
      <c r="F695" t="s">
        <v>1790</v>
      </c>
      <c r="G695" s="661" t="s">
        <v>2722</v>
      </c>
      <c r="J695" s="653" t="str">
        <f>IFERROR(VLOOKUP(ROWS($J$2:J695),$A$2:$B$996,2,FALSE),"")</f>
        <v/>
      </c>
    </row>
    <row r="696" spans="1:10" x14ac:dyDescent="0.2">
      <c r="A696">
        <f>IF(ISNUMBER(SEARCH(Cover!$H$13,Table1[[#This Row],[School District]])),MAX($A$1:A695)+1,0)</f>
        <v>0</v>
      </c>
      <c r="B696" s="661" t="s">
        <v>1044</v>
      </c>
      <c r="C696" s="1599">
        <v>48072150025</v>
      </c>
      <c r="D696" s="664">
        <v>25</v>
      </c>
      <c r="E696" t="str">
        <f>IF(OR(Table1[[#This Row],[Type]]=0,Table1[[#This Row],[Type]]&gt;=40),"JA","SD")</f>
        <v>SD</v>
      </c>
      <c r="F696" t="s">
        <v>1790</v>
      </c>
      <c r="G696" s="661" t="s">
        <v>2723</v>
      </c>
      <c r="J696" s="653" t="str">
        <f>IFERROR(VLOOKUP(ROWS($J$2:J696),$A$2:$B$996,2,FALSE),"")</f>
        <v/>
      </c>
    </row>
    <row r="697" spans="1:10" x14ac:dyDescent="0.2">
      <c r="A697">
        <f>IF(ISNUMBER(SEARCH(Cover!$H$13,Table1[[#This Row],[School District]])),MAX($A$1:A696)+1,0)</f>
        <v>0</v>
      </c>
      <c r="B697" s="661" t="s">
        <v>906</v>
      </c>
      <c r="C697" s="1599" t="s">
        <v>907</v>
      </c>
      <c r="D697" s="664">
        <v>26</v>
      </c>
      <c r="E697" t="str">
        <f>IF(OR(Table1[[#This Row],[Type]]=0,Table1[[#This Row],[Type]]&gt;=40),"JA","SD")</f>
        <v>SD</v>
      </c>
      <c r="F697" t="s">
        <v>3132</v>
      </c>
      <c r="G697" s="661" t="s">
        <v>2724</v>
      </c>
      <c r="J697" s="653" t="str">
        <f>IFERROR(VLOOKUP(ROWS($J$2:J697),$A$2:$B$996,2,FALSE),"")</f>
        <v/>
      </c>
    </row>
    <row r="698" spans="1:10" x14ac:dyDescent="0.2">
      <c r="A698">
        <f>IF(ISNUMBER(SEARCH(Cover!$H$13,Table1[[#This Row],[School District]])),MAX($A$1:A697)+1,0)</f>
        <v>0</v>
      </c>
      <c r="B698" t="s">
        <v>1716</v>
      </c>
      <c r="C698" s="1599">
        <v>45079132061</v>
      </c>
      <c r="D698" s="664">
        <v>61</v>
      </c>
      <c r="E698" t="str">
        <f>IF(OR(Table1[[#This Row],[Type]]=0,Table1[[#This Row],[Type]]&gt;=40),"JA","SD")</f>
        <v>JA</v>
      </c>
      <c r="F698" t="s">
        <v>1853</v>
      </c>
      <c r="G698" s="661" t="s">
        <v>2725</v>
      </c>
      <c r="J698" s="653" t="str">
        <f>IFERROR(VLOOKUP(ROWS($J$2:J698),$A$2:$B$996,2,FALSE),"")</f>
        <v/>
      </c>
    </row>
    <row r="699" spans="1:10" x14ac:dyDescent="0.2">
      <c r="A699">
        <f>IF(ISNUMBER(SEARCH(Cover!$H$13,Table1[[#This Row],[School District]])),MAX($A$1:A698)+1,0)</f>
        <v>0</v>
      </c>
      <c r="B699" s="661" t="s">
        <v>1136</v>
      </c>
      <c r="C699" s="1599">
        <v>35050124002</v>
      </c>
      <c r="D699" s="664">
        <v>2</v>
      </c>
      <c r="E699" t="str">
        <f>IF(OR(Table1[[#This Row],[Type]]=0,Table1[[#This Row],[Type]]&gt;=40),"JA","SD")</f>
        <v>SD</v>
      </c>
      <c r="F699" t="s">
        <v>3165</v>
      </c>
      <c r="G699" s="661" t="s">
        <v>2726</v>
      </c>
      <c r="J699" s="653" t="str">
        <f>IFERROR(VLOOKUP(ROWS($J$2:J699),$A$2:$B$996,2,FALSE),"")</f>
        <v/>
      </c>
    </row>
    <row r="700" spans="1:10" x14ac:dyDescent="0.2">
      <c r="A700">
        <f>IF(ISNUMBER(SEARCH(Cover!$H$13,Table1[[#This Row],[School District]])),MAX($A$1:A699)+1,0)</f>
        <v>0</v>
      </c>
      <c r="B700" s="661" t="s">
        <v>1620</v>
      </c>
      <c r="C700" s="1599">
        <v>1075010026</v>
      </c>
      <c r="D700" s="664">
        <v>26</v>
      </c>
      <c r="E700" t="str">
        <f>IF(OR(Table1[[#This Row],[Type]]=0,Table1[[#This Row],[Type]]&gt;=40),"JA","SD")</f>
        <v>SD</v>
      </c>
      <c r="F700" t="s">
        <v>3223</v>
      </c>
      <c r="G700" s="661" t="s">
        <v>2727</v>
      </c>
      <c r="J700" s="653" t="str">
        <f>IFERROR(VLOOKUP(ROWS($J$2:J700),$A$2:$B$996,2,FALSE),"")</f>
        <v/>
      </c>
    </row>
    <row r="701" spans="1:10" ht="15" customHeight="1" x14ac:dyDescent="0.2">
      <c r="A701">
        <f>IF(ISNUMBER(SEARCH(Cover!$H$13,Table1[[#This Row],[School District]])),MAX($A$1:A700)+1,0)</f>
        <v>0</v>
      </c>
      <c r="B701" s="661" t="s">
        <v>1973</v>
      </c>
      <c r="C701" s="1599">
        <v>30073101016</v>
      </c>
      <c r="D701" s="664">
        <v>16</v>
      </c>
      <c r="E701" t="str">
        <f>IF(OR(Table1[[#This Row],[Type]]=0,Table1[[#This Row],[Type]]&gt;=40),"JA","SD")</f>
        <v>SD</v>
      </c>
      <c r="F701" t="s">
        <v>1837</v>
      </c>
      <c r="G701" s="661" t="s">
        <v>2728</v>
      </c>
      <c r="J701" s="653" t="str">
        <f>IFERROR(VLOOKUP(ROWS($J$2:J701),$A$2:$B$996,2,FALSE),"")</f>
        <v/>
      </c>
    </row>
    <row r="702" spans="1:10" x14ac:dyDescent="0.2">
      <c r="A702">
        <f>IF(ISNUMBER(SEARCH(Cover!$H$13,Table1[[#This Row],[School District]])),MAX($A$1:A701)+1,0)</f>
        <v>0</v>
      </c>
      <c r="B702" s="661" t="s">
        <v>1228</v>
      </c>
      <c r="C702" s="1599">
        <v>30073050002</v>
      </c>
      <c r="D702" s="664">
        <v>2</v>
      </c>
      <c r="E702" t="str">
        <f>IF(OR(Table1[[#This Row],[Type]]=0,Table1[[#This Row],[Type]]&gt;=40),"JA","SD")</f>
        <v>SD</v>
      </c>
      <c r="F702" t="s">
        <v>3224</v>
      </c>
      <c r="G702" s="661" t="s">
        <v>2729</v>
      </c>
      <c r="J702" s="653" t="str">
        <f>IFERROR(VLOOKUP(ROWS($J$2:J702),$A$2:$B$996,2,FALSE),"")</f>
        <v/>
      </c>
    </row>
    <row r="703" spans="1:10" x14ac:dyDescent="0.2">
      <c r="A703">
        <f>IF(ISNUMBER(SEARCH(Cover!$H$13,Table1[[#This Row],[School District]])),MAX($A$1:A702)+1,0)</f>
        <v>0</v>
      </c>
      <c r="B703" s="661" t="s">
        <v>945</v>
      </c>
      <c r="C703" s="1599">
        <v>56099202022</v>
      </c>
      <c r="D703" s="664">
        <v>22</v>
      </c>
      <c r="E703" t="str">
        <f>IF(OR(Table1[[#This Row],[Type]]=0,Table1[[#This Row],[Type]]&gt;=40),"JA","SD")</f>
        <v>SD</v>
      </c>
      <c r="F703" t="s">
        <v>3275</v>
      </c>
      <c r="G703" s="661" t="s">
        <v>2730</v>
      </c>
      <c r="J703" s="653" t="str">
        <f>IFERROR(VLOOKUP(ROWS($J$2:J703),$A$2:$B$996,2,FALSE),"")</f>
        <v/>
      </c>
    </row>
    <row r="704" spans="1:10" x14ac:dyDescent="0.2">
      <c r="A704">
        <f>IF(ISNUMBER(SEARCH(Cover!$H$13,Table1[[#This Row],[School District]])),MAX($A$1:A703)+1,0)</f>
        <v>0</v>
      </c>
      <c r="B704" t="s">
        <v>1974</v>
      </c>
      <c r="C704" s="1599">
        <v>24047088061</v>
      </c>
      <c r="D704" s="664">
        <v>61</v>
      </c>
      <c r="E704" t="str">
        <f>IF(OR(Table1[[#This Row],[Type]]=0,Table1[[#This Row],[Type]]&gt;=40),"JA","SD")</f>
        <v>JA</v>
      </c>
      <c r="F704" t="s">
        <v>1874</v>
      </c>
      <c r="G704" s="661" t="s">
        <v>2731</v>
      </c>
      <c r="J704" s="653" t="str">
        <f>IFERROR(VLOOKUP(ROWS($J$2:J704),$A$2:$B$996,2,FALSE),"")</f>
        <v/>
      </c>
    </row>
    <row r="705" spans="1:10" x14ac:dyDescent="0.2">
      <c r="A705">
        <f>IF(ISNUMBER(SEARCH(Cover!$H$13,Table1[[#This Row],[School District]])),MAX($A$1:A704)+1,0)</f>
        <v>0</v>
      </c>
      <c r="B705" s="661" t="s">
        <v>1271</v>
      </c>
      <c r="C705" s="1599">
        <v>24047088026</v>
      </c>
      <c r="D705" s="664">
        <v>26</v>
      </c>
      <c r="E705" t="str">
        <f>IF(OR(Table1[[#This Row],[Type]]=0,Table1[[#This Row],[Type]]&gt;=40),"JA","SD")</f>
        <v>SD</v>
      </c>
      <c r="F705" t="s">
        <v>1874</v>
      </c>
      <c r="G705" s="661" t="s">
        <v>2732</v>
      </c>
      <c r="J705" s="653" t="str">
        <f>IFERROR(VLOOKUP(ROWS($J$2:J705),$A$2:$B$996,2,FALSE),"")</f>
        <v/>
      </c>
    </row>
    <row r="706" spans="1:10" x14ac:dyDescent="0.2">
      <c r="A706">
        <f>IF(ISNUMBER(SEARCH(Cover!$H$13,Table1[[#This Row],[School District]])),MAX($A$1:A705)+1,0)</f>
        <v>0</v>
      </c>
      <c r="B706" s="661" t="s">
        <v>1975</v>
      </c>
      <c r="C706" s="1599">
        <v>1075003026</v>
      </c>
      <c r="D706" s="664">
        <v>26</v>
      </c>
      <c r="E706" t="str">
        <f>IF(OR(Table1[[#This Row],[Type]]=0,Table1[[#This Row],[Type]]&gt;=40),"JA","SD")</f>
        <v>SD</v>
      </c>
      <c r="F706" t="s">
        <v>1905</v>
      </c>
      <c r="G706" s="661" t="s">
        <v>2733</v>
      </c>
      <c r="J706" s="653" t="str">
        <f>IFERROR(VLOOKUP(ROWS($J$2:J706),$A$2:$B$996,2,FALSE),"")</f>
        <v/>
      </c>
    </row>
    <row r="707" spans="1:10" x14ac:dyDescent="0.2">
      <c r="A707">
        <f>IF(ISNUMBER(SEARCH(Cover!$H$13,Table1[[#This Row],[School District]])),MAX($A$1:A706)+1,0)</f>
        <v>0</v>
      </c>
      <c r="B707" s="661" t="s">
        <v>1046</v>
      </c>
      <c r="C707" s="1599">
        <v>48072069002</v>
      </c>
      <c r="D707" s="664">
        <v>2</v>
      </c>
      <c r="E707" t="str">
        <f>IF(OR(Table1[[#This Row],[Type]]=0,Table1[[#This Row],[Type]]&gt;=40),"JA","SD")</f>
        <v>SD</v>
      </c>
      <c r="F707" t="s">
        <v>1790</v>
      </c>
      <c r="G707" s="661" t="s">
        <v>2734</v>
      </c>
      <c r="J707" s="653" t="str">
        <f>IFERROR(VLOOKUP(ROWS($J$2:J707),$A$2:$B$996,2,FALSE),"")</f>
        <v/>
      </c>
    </row>
    <row r="708" spans="1:10" x14ac:dyDescent="0.2">
      <c r="A708">
        <f>IF(ISNUMBER(SEARCH(Cover!$H$13,Table1[[#This Row],[School District]])),MAX($A$1:A707)+1,0)</f>
        <v>0</v>
      </c>
      <c r="B708" s="661" t="s">
        <v>997</v>
      </c>
      <c r="C708" s="1599">
        <v>51084008026</v>
      </c>
      <c r="D708" s="664">
        <v>26</v>
      </c>
      <c r="E708" t="str">
        <f>IF(OR(Table1[[#This Row],[Type]]=0,Table1[[#This Row],[Type]]&gt;=40),"JA","SD")</f>
        <v>SD</v>
      </c>
      <c r="F708" t="s">
        <v>1788</v>
      </c>
      <c r="G708" s="661" t="s">
        <v>2735</v>
      </c>
      <c r="J708" s="653" t="str">
        <f>IFERROR(VLOOKUP(ROWS($J$2:J708),$A$2:$B$996,2,FALSE),"")</f>
        <v/>
      </c>
    </row>
    <row r="709" spans="1:10" x14ac:dyDescent="0.2">
      <c r="A709">
        <f>IF(ISNUMBER(SEARCH(Cover!$H$13,Table1[[#This Row],[School District]])),MAX($A$1:A708)+1,0)</f>
        <v>0</v>
      </c>
      <c r="B709" s="661" t="s">
        <v>1049</v>
      </c>
      <c r="C709" s="1599">
        <v>48072062002</v>
      </c>
      <c r="D709" s="664">
        <v>2</v>
      </c>
      <c r="E709" t="str">
        <f>IF(OR(Table1[[#This Row],[Type]]=0,Table1[[#This Row],[Type]]&gt;=40),"JA","SD")</f>
        <v>SD</v>
      </c>
      <c r="F709" t="s">
        <v>1790</v>
      </c>
      <c r="G709" s="661" t="s">
        <v>2736</v>
      </c>
      <c r="J709" s="653" t="str">
        <f>IFERROR(VLOOKUP(ROWS($J$2:J709),$A$2:$B$996,2,FALSE),"")</f>
        <v/>
      </c>
    </row>
    <row r="710" spans="1:10" x14ac:dyDescent="0.2">
      <c r="A710">
        <f>IF(ISNUMBER(SEARCH(Cover!$H$13,Table1[[#This Row],[School District]])),MAX($A$1:A709)+1,0)</f>
        <v>0</v>
      </c>
      <c r="B710" s="661" t="s">
        <v>1527</v>
      </c>
      <c r="C710" s="1599">
        <v>6016107002</v>
      </c>
      <c r="D710" s="664">
        <v>2</v>
      </c>
      <c r="E710" t="str">
        <f>IF(OR(Table1[[#This Row],[Type]]=0,Table1[[#This Row],[Type]]&gt;=40),"JA","SD")</f>
        <v>SD</v>
      </c>
      <c r="F710" t="s">
        <v>1766</v>
      </c>
      <c r="G710" s="661" t="s">
        <v>2737</v>
      </c>
      <c r="J710" s="653" t="str">
        <f>IFERROR(VLOOKUP(ROWS($J$2:J710),$A$2:$B$996,2,FALSE),"")</f>
        <v/>
      </c>
    </row>
    <row r="711" spans="1:10" x14ac:dyDescent="0.2">
      <c r="A711">
        <f>IF(ISNUMBER(SEARCH(Cover!$H$13,Table1[[#This Row],[School District]])),MAX($A$1:A710)+1,0)</f>
        <v>0</v>
      </c>
      <c r="B711" s="661" t="s">
        <v>1061</v>
      </c>
      <c r="C711" s="1599">
        <v>47071222026</v>
      </c>
      <c r="D711" s="664">
        <v>26</v>
      </c>
      <c r="E711" t="str">
        <f>IF(OR(Table1[[#This Row],[Type]]=0,Table1[[#This Row],[Type]]&gt;=40),"JA","SD")</f>
        <v>SD</v>
      </c>
      <c r="F711" t="s">
        <v>3276</v>
      </c>
      <c r="G711" s="661" t="s">
        <v>2738</v>
      </c>
      <c r="J711" s="653" t="str">
        <f>IFERROR(VLOOKUP(ROWS($J$2:J711),$A$2:$B$996,2,FALSE),"")</f>
        <v/>
      </c>
    </row>
    <row r="712" spans="1:10" x14ac:dyDescent="0.2">
      <c r="A712">
        <f>IF(ISNUMBER(SEARCH(Cover!$H$13,Table1[[#This Row],[School District]])),MAX($A$1:A711)+1,0)</f>
        <v>0</v>
      </c>
      <c r="B712" s="661" t="s">
        <v>1363</v>
      </c>
      <c r="C712" s="1599">
        <v>17053429004</v>
      </c>
      <c r="D712" s="664">
        <v>4</v>
      </c>
      <c r="E712" t="str">
        <f>IF(OR(Table1[[#This Row],[Type]]=0,Table1[[#This Row],[Type]]&gt;=40),"JA","SD")</f>
        <v>SD</v>
      </c>
      <c r="F712" t="s">
        <v>1866</v>
      </c>
      <c r="G712" s="661" t="s">
        <v>2739</v>
      </c>
      <c r="J712" s="653" t="str">
        <f>IFERROR(VLOOKUP(ROWS($J$2:J712),$A$2:$B$996,2,FALSE),"")</f>
        <v/>
      </c>
    </row>
    <row r="713" spans="1:10" x14ac:dyDescent="0.2">
      <c r="A713">
        <f>IF(ISNUMBER(SEARCH(Cover!$H$13,Table1[[#This Row],[School District]])),MAX($A$1:A712)+1,0)</f>
        <v>0</v>
      </c>
      <c r="B713" s="661" t="s">
        <v>1367</v>
      </c>
      <c r="C713" s="1599">
        <v>17053090017</v>
      </c>
      <c r="D713" s="664">
        <v>17</v>
      </c>
      <c r="E713" t="str">
        <f>IF(OR(Table1[[#This Row],[Type]]=0,Table1[[#This Row],[Type]]&gt;=40),"JA","SD")</f>
        <v>SD</v>
      </c>
      <c r="F713" t="s">
        <v>1866</v>
      </c>
      <c r="G713" s="661" t="s">
        <v>2740</v>
      </c>
      <c r="J713" s="653" t="str">
        <f>IFERROR(VLOOKUP(ROWS($J$2:J713),$A$2:$B$996,2,FALSE),"")</f>
        <v/>
      </c>
    </row>
    <row r="714" spans="1:10" x14ac:dyDescent="0.2">
      <c r="A714">
        <f>IF(ISNUMBER(SEARCH(Cover!$H$13,Table1[[#This Row],[School District]])),MAX($A$1:A713)+1,0)</f>
        <v>0</v>
      </c>
      <c r="B714" s="661" t="s">
        <v>1976</v>
      </c>
      <c r="C714" s="1599">
        <v>50082105002</v>
      </c>
      <c r="D714" s="664">
        <v>2</v>
      </c>
      <c r="E714" t="str">
        <f>IF(OR(Table1[[#This Row],[Type]]=0,Table1[[#This Row],[Type]]&gt;=40),"JA","SD")</f>
        <v>SD</v>
      </c>
      <c r="F714" t="s">
        <v>3134</v>
      </c>
      <c r="G714" s="661" t="s">
        <v>2741</v>
      </c>
      <c r="J714" s="653" t="str">
        <f>IFERROR(VLOOKUP(ROWS($J$2:J714),$A$2:$B$996,2,FALSE),"")</f>
        <v/>
      </c>
    </row>
    <row r="715" spans="1:10" x14ac:dyDescent="0.2">
      <c r="A715">
        <f>IF(ISNUMBER(SEARCH(Cover!$H$13,Table1[[#This Row],[School District]])),MAX($A$1:A714)+1,0)</f>
        <v>0</v>
      </c>
      <c r="B715" s="661" t="s">
        <v>1977</v>
      </c>
      <c r="C715" s="1599">
        <v>20076001026</v>
      </c>
      <c r="D715" s="664">
        <v>26</v>
      </c>
      <c r="E715" t="str">
        <f>IF(OR(Table1[[#This Row],[Type]]=0,Table1[[#This Row],[Type]]&gt;=40),"JA","SD")</f>
        <v>SD</v>
      </c>
      <c r="F715" t="s">
        <v>1978</v>
      </c>
      <c r="G715" s="661" t="s">
        <v>2742</v>
      </c>
      <c r="J715" s="653" t="str">
        <f>IFERROR(VLOOKUP(ROWS($J$2:J715),$A$2:$B$996,2,FALSE),"")</f>
        <v/>
      </c>
    </row>
    <row r="716" spans="1:10" x14ac:dyDescent="0.2">
      <c r="A716">
        <f>IF(ISNUMBER(SEARCH(Cover!$H$13,Table1[[#This Row],[School District]])),MAX($A$1:A715)+1,0)</f>
        <v>0</v>
      </c>
      <c r="B716" s="661" t="s">
        <v>1001</v>
      </c>
      <c r="C716" s="1599">
        <v>51065202026</v>
      </c>
      <c r="D716" s="664">
        <v>26</v>
      </c>
      <c r="E716" t="str">
        <f>IF(OR(Table1[[#This Row],[Type]]=0,Table1[[#This Row],[Type]]&gt;=40),"JA","SD")</f>
        <v>SD</v>
      </c>
      <c r="F716" t="s">
        <v>3277</v>
      </c>
      <c r="G716" s="661" t="s">
        <v>2743</v>
      </c>
      <c r="J716" s="653" t="str">
        <f>IFERROR(VLOOKUP(ROWS($J$2:J716),$A$2:$B$996,2,FALSE),"")</f>
        <v/>
      </c>
    </row>
    <row r="717" spans="1:10" x14ac:dyDescent="0.2">
      <c r="A717">
        <f>IF(ISNUMBER(SEARCH(Cover!$H$13,Table1[[#This Row],[School District]])),MAX($A$1:A716)+1,0)</f>
        <v>0</v>
      </c>
      <c r="B717" s="661" t="s">
        <v>1502</v>
      </c>
      <c r="C717" s="1599">
        <v>7016143502</v>
      </c>
      <c r="D717" s="664">
        <v>2</v>
      </c>
      <c r="E717" t="str">
        <f>IF(OR(Table1[[#This Row],[Type]]=0,Table1[[#This Row],[Type]]&gt;=40),"JA","SD")</f>
        <v>SD</v>
      </c>
      <c r="F717" t="s">
        <v>1766</v>
      </c>
      <c r="G717" s="661" t="s">
        <v>2744</v>
      </c>
      <c r="J717" s="653" t="str">
        <f>IFERROR(VLOOKUP(ROWS($J$2:J717),$A$2:$B$996,2,FALSE),"")</f>
        <v/>
      </c>
    </row>
    <row r="718" spans="1:10" x14ac:dyDescent="0.2">
      <c r="A718">
        <f>IF(ISNUMBER(SEARCH(Cover!$H$13,Table1[[#This Row],[School District]])),MAX($A$1:A717)+1,0)</f>
        <v>0</v>
      </c>
      <c r="B718" s="661" t="s">
        <v>962</v>
      </c>
      <c r="C718" s="1599">
        <v>54092010026</v>
      </c>
      <c r="D718" s="664">
        <v>26</v>
      </c>
      <c r="E718" t="str">
        <f>IF(OR(Table1[[#This Row],[Type]]=0,Table1[[#This Row],[Type]]&gt;=40),"JA","SD")</f>
        <v>SD</v>
      </c>
      <c r="F718" t="s">
        <v>1783</v>
      </c>
      <c r="G718" s="661" t="s">
        <v>2745</v>
      </c>
      <c r="J718" s="653" t="str">
        <f>IFERROR(VLOOKUP(ROWS($J$2:J718),$A$2:$B$996,2,FALSE),"")</f>
        <v/>
      </c>
    </row>
    <row r="719" spans="1:10" x14ac:dyDescent="0.2">
      <c r="A719">
        <f>IF(ISNUMBER(SEARCH(Cover!$H$13,Table1[[#This Row],[School District]])),MAX($A$1:A718)+1,0)</f>
        <v>0</v>
      </c>
      <c r="B719" s="661" t="s">
        <v>1979</v>
      </c>
      <c r="C719" s="1599">
        <v>17053008026</v>
      </c>
      <c r="D719" s="664">
        <v>26</v>
      </c>
      <c r="E719" t="str">
        <f>IF(OR(Table1[[#This Row],[Type]]=0,Table1[[#This Row],[Type]]&gt;=40),"JA","SD")</f>
        <v>SD</v>
      </c>
      <c r="F719" t="s">
        <v>3225</v>
      </c>
      <c r="G719" s="661" t="s">
        <v>2746</v>
      </c>
      <c r="J719" s="653" t="str">
        <f>IFERROR(VLOOKUP(ROWS($J$2:J719),$A$2:$B$996,2,FALSE),"")</f>
        <v/>
      </c>
    </row>
    <row r="720" spans="1:10" x14ac:dyDescent="0.2">
      <c r="A720">
        <f>IF(ISNUMBER(SEARCH(Cover!$H$13,Table1[[#This Row],[School District]])),MAX($A$1:A719)+1,0)</f>
        <v>0</v>
      </c>
      <c r="B720" s="661" t="s">
        <v>1074</v>
      </c>
      <c r="C720" s="1599">
        <v>45079134004</v>
      </c>
      <c r="D720" s="664">
        <v>4</v>
      </c>
      <c r="E720" t="str">
        <f>IF(OR(Table1[[#This Row],[Type]]=0,Table1[[#This Row],[Type]]&gt;=40),"JA","SD")</f>
        <v>SD</v>
      </c>
      <c r="F720" t="s">
        <v>1853</v>
      </c>
      <c r="G720" s="661" t="s">
        <v>2747</v>
      </c>
      <c r="J720" s="653" t="str">
        <f>IFERROR(VLOOKUP(ROWS($J$2:J720),$A$2:$B$996,2,FALSE),"")</f>
        <v/>
      </c>
    </row>
    <row r="721" spans="1:10" x14ac:dyDescent="0.2">
      <c r="A721">
        <f>IF(ISNUMBER(SEARCH(Cover!$H$13,Table1[[#This Row],[School District]])),MAX($A$1:A720)+1,0)</f>
        <v>0</v>
      </c>
      <c r="B721" s="661" t="s">
        <v>1086</v>
      </c>
      <c r="C721" s="1599">
        <v>44063046003</v>
      </c>
      <c r="D721" s="664">
        <v>3</v>
      </c>
      <c r="E721" t="str">
        <f>IF(OR(Table1[[#This Row],[Type]]=0,Table1[[#This Row],[Type]]&gt;=40),"JA","SD")</f>
        <v>SD</v>
      </c>
      <c r="F721" t="s">
        <v>1769</v>
      </c>
      <c r="G721" s="661" t="s">
        <v>2748</v>
      </c>
      <c r="J721" s="653" t="str">
        <f>IFERROR(VLOOKUP(ROWS($J$2:J721),$A$2:$B$996,2,FALSE),"")</f>
        <v/>
      </c>
    </row>
    <row r="722" spans="1:10" x14ac:dyDescent="0.2">
      <c r="A722">
        <f>IF(ISNUMBER(SEARCH(Cover!$H$13,Table1[[#This Row],[School District]])),MAX($A$1:A721)+1,0)</f>
        <v>0</v>
      </c>
      <c r="B722" s="661" t="s">
        <v>1595</v>
      </c>
      <c r="C722" s="1599">
        <v>4101133004</v>
      </c>
      <c r="D722" s="664">
        <v>4</v>
      </c>
      <c r="E722" t="str">
        <f>IF(OR(Table1[[#This Row],[Type]]=0,Table1[[#This Row],[Type]]&gt;=40),"JA","SD")</f>
        <v>SD</v>
      </c>
      <c r="F722" t="s">
        <v>1828</v>
      </c>
      <c r="G722" s="661" t="s">
        <v>2749</v>
      </c>
      <c r="J722" s="653" t="str">
        <f>IFERROR(VLOOKUP(ROWS($J$2:J722),$A$2:$B$996,2,FALSE),"")</f>
        <v/>
      </c>
    </row>
    <row r="723" spans="1:10" x14ac:dyDescent="0.2">
      <c r="A723">
        <f>IF(ISNUMBER(SEARCH(Cover!$H$13,Table1[[#This Row],[School District]])),MAX($A$1:A722)+1,0)</f>
        <v>0</v>
      </c>
      <c r="B723" s="661" t="s">
        <v>1501</v>
      </c>
      <c r="C723" s="1599">
        <v>7016144002</v>
      </c>
      <c r="D723" s="664">
        <v>2</v>
      </c>
      <c r="E723" t="str">
        <f>IF(OR(Table1[[#This Row],[Type]]=0,Table1[[#This Row],[Type]]&gt;=40),"JA","SD")</f>
        <v>SD</v>
      </c>
      <c r="F723" t="s">
        <v>1766</v>
      </c>
      <c r="G723" s="661" t="s">
        <v>2750</v>
      </c>
      <c r="J723" s="653" t="str">
        <f>IFERROR(VLOOKUP(ROWS($J$2:J723),$A$2:$B$996,2,FALSE),"")</f>
        <v/>
      </c>
    </row>
    <row r="724" spans="1:10" x14ac:dyDescent="0.2">
      <c r="A724">
        <f>IF(ISNUMBER(SEARCH(Cover!$H$13,Table1[[#This Row],[School District]])),MAX($A$1:A723)+1,0)</f>
        <v>0</v>
      </c>
      <c r="B724" s="661" t="s">
        <v>1443</v>
      </c>
      <c r="C724" s="1599">
        <v>9010197004</v>
      </c>
      <c r="D724" s="664">
        <v>4</v>
      </c>
      <c r="E724" t="str">
        <f>IF(OR(Table1[[#This Row],[Type]]=0,Table1[[#This Row],[Type]]&gt;=40),"JA","SD")</f>
        <v>SD</v>
      </c>
      <c r="F724" t="s">
        <v>3226</v>
      </c>
      <c r="G724" s="661" t="s">
        <v>2751</v>
      </c>
      <c r="J724" s="653" t="str">
        <f>IFERROR(VLOOKUP(ROWS($J$2:J724),$A$2:$B$996,2,FALSE),"")</f>
        <v/>
      </c>
    </row>
    <row r="725" spans="1:10" ht="15" customHeight="1" x14ac:dyDescent="0.2">
      <c r="A725">
        <f>IF(ISNUMBER(SEARCH(Cover!$H$13,Table1[[#This Row],[School District]])),MAX($A$1:A724)+1,0)</f>
        <v>0</v>
      </c>
      <c r="B725" s="661" t="s">
        <v>1250</v>
      </c>
      <c r="C725" s="1599">
        <v>28006115002</v>
      </c>
      <c r="D725" s="664">
        <v>2</v>
      </c>
      <c r="E725" t="str">
        <f>IF(OR(Table1[[#This Row],[Type]]=0,Table1[[#This Row],[Type]]&gt;=40),"JA","SD")</f>
        <v>SD</v>
      </c>
      <c r="F725" t="s">
        <v>1818</v>
      </c>
      <c r="G725" s="661" t="s">
        <v>2752</v>
      </c>
      <c r="J725" s="653" t="str">
        <f>IFERROR(VLOOKUP(ROWS($J$2:J725),$A$2:$B$996,2,FALSE),"")</f>
        <v/>
      </c>
    </row>
    <row r="726" spans="1:10" x14ac:dyDescent="0.2">
      <c r="A726">
        <f>IF(ISNUMBER(SEARCH(Cover!$H$13,Table1[[#This Row],[School District]])),MAX($A$1:A725)+1,0)</f>
        <v>0</v>
      </c>
      <c r="B726" s="661" t="s">
        <v>1980</v>
      </c>
      <c r="C726" s="1599">
        <v>28006500015</v>
      </c>
      <c r="D726" s="664">
        <v>15</v>
      </c>
      <c r="E726" t="str">
        <f>IF(OR(Table1[[#This Row],[Type]]=0,Table1[[#This Row],[Type]]&gt;=40),"JA","SD")</f>
        <v>SD</v>
      </c>
      <c r="F726" t="s">
        <v>1818</v>
      </c>
      <c r="G726" s="661" t="s">
        <v>2753</v>
      </c>
      <c r="J726" s="653" t="str">
        <f>IFERROR(VLOOKUP(ROWS($J$2:J726),$A$2:$B$996,2,FALSE),"")</f>
        <v/>
      </c>
    </row>
    <row r="727" spans="1:10" x14ac:dyDescent="0.2">
      <c r="A727">
        <f>IF(ISNUMBER(SEARCH(Cover!$H$13,Table1[[#This Row],[School District]])),MAX($A$1:A726)+1,0)</f>
        <v>0</v>
      </c>
      <c r="B727" s="661" t="s">
        <v>1036</v>
      </c>
      <c r="C727" s="1599">
        <v>48072326026</v>
      </c>
      <c r="D727" s="664">
        <v>26</v>
      </c>
      <c r="E727" t="str">
        <f>IF(OR(Table1[[#This Row],[Type]]=0,Table1[[#This Row],[Type]]&gt;=40),"JA","SD")</f>
        <v>SD</v>
      </c>
      <c r="F727" t="s">
        <v>3278</v>
      </c>
      <c r="G727" s="661" t="s">
        <v>2754</v>
      </c>
      <c r="J727" s="653" t="str">
        <f>IFERROR(VLOOKUP(ROWS($J$2:J727),$A$2:$B$996,2,FALSE),"")</f>
        <v/>
      </c>
    </row>
    <row r="728" spans="1:10" ht="15" customHeight="1" x14ac:dyDescent="0.2">
      <c r="A728">
        <f>IF(ISNUMBER(SEARCH(Cover!$H$13,Table1[[#This Row],[School District]])),MAX($A$1:A727)+1,0)</f>
        <v>0</v>
      </c>
      <c r="B728" s="661" t="s">
        <v>1981</v>
      </c>
      <c r="C728" s="1599">
        <v>47098003026</v>
      </c>
      <c r="D728" s="664">
        <v>26</v>
      </c>
      <c r="E728" t="str">
        <f>IF(OR(Table1[[#This Row],[Type]]=0,Table1[[#This Row],[Type]]&gt;=40),"JA","SD")</f>
        <v>SD</v>
      </c>
      <c r="F728" t="s">
        <v>1798</v>
      </c>
      <c r="G728" s="661" t="s">
        <v>2755</v>
      </c>
      <c r="J728" s="653" t="str">
        <f>IFERROR(VLOOKUP(ROWS($J$2:J728),$A$2:$B$996,2,FALSE),"")</f>
        <v/>
      </c>
    </row>
    <row r="729" spans="1:10" x14ac:dyDescent="0.2">
      <c r="A729">
        <f>IF(ISNUMBER(SEARCH(Cover!$H$13,Table1[[#This Row],[School District]])),MAX($A$1:A728)+1,0)</f>
        <v>0</v>
      </c>
      <c r="B729" s="661" t="s">
        <v>1585</v>
      </c>
      <c r="C729" s="1599">
        <v>5016023002</v>
      </c>
      <c r="D729" s="664">
        <v>2</v>
      </c>
      <c r="E729" t="str">
        <f>IF(OR(Table1[[#This Row],[Type]]=0,Table1[[#This Row],[Type]]&gt;=40),"JA","SD")</f>
        <v>SD</v>
      </c>
      <c r="F729" t="s">
        <v>1766</v>
      </c>
      <c r="G729" s="661" t="s">
        <v>2756</v>
      </c>
      <c r="J729" s="653" t="str">
        <f>IFERROR(VLOOKUP(ROWS($J$2:J729),$A$2:$B$996,2,FALSE),"")</f>
        <v/>
      </c>
    </row>
    <row r="730" spans="1:10" x14ac:dyDescent="0.2">
      <c r="A730">
        <f>IF(ISNUMBER(SEARCH(Cover!$H$13,Table1[[#This Row],[School District]])),MAX($A$1:A729)+1,0)</f>
        <v>0</v>
      </c>
      <c r="B730" t="s">
        <v>1646</v>
      </c>
      <c r="C730" s="1599">
        <v>6016803060</v>
      </c>
      <c r="D730" s="664">
        <v>60</v>
      </c>
      <c r="E730" t="str">
        <f>IF(OR(Table1[[#This Row],[Type]]=0,Table1[[#This Row],[Type]]&gt;=40),"JA","SD")</f>
        <v>JA</v>
      </c>
      <c r="F730" t="s">
        <v>1766</v>
      </c>
      <c r="G730" s="661" t="s">
        <v>2757</v>
      </c>
      <c r="J730" s="653" t="str">
        <f>IFERROR(VLOOKUP(ROWS($J$2:J730),$A$2:$B$996,2,FALSE),"")</f>
        <v/>
      </c>
    </row>
    <row r="731" spans="1:10" ht="15" customHeight="1" x14ac:dyDescent="0.2">
      <c r="A731">
        <f>IF(ISNUMBER(SEARCH(Cover!$H$13,Table1[[#This Row],[School District]])),MAX($A$1:A730)+1,0)</f>
        <v>0</v>
      </c>
      <c r="B731" s="661" t="s">
        <v>1523</v>
      </c>
      <c r="C731" s="1599">
        <v>6016209017</v>
      </c>
      <c r="D731" s="664">
        <v>17</v>
      </c>
      <c r="E731" t="str">
        <f>IF(OR(Table1[[#This Row],[Type]]=0,Table1[[#This Row],[Type]]&gt;=40),"JA","SD")</f>
        <v>SD</v>
      </c>
      <c r="F731" t="s">
        <v>1766</v>
      </c>
      <c r="G731" s="661" t="s">
        <v>2758</v>
      </c>
      <c r="J731" s="653" t="str">
        <f>IFERROR(VLOOKUP(ROWS($J$2:J731),$A$2:$B$996,2,FALSE),"")</f>
        <v/>
      </c>
    </row>
    <row r="732" spans="1:10" x14ac:dyDescent="0.2">
      <c r="A732">
        <f>IF(ISNUMBER(SEARCH(Cover!$H$13,Table1[[#This Row],[School District]])),MAX($A$1:A731)+1,0)</f>
        <v>0</v>
      </c>
      <c r="B732" s="661" t="s">
        <v>1982</v>
      </c>
      <c r="C732" s="1599">
        <v>35078535026</v>
      </c>
      <c r="D732" s="664">
        <v>26</v>
      </c>
      <c r="E732" t="str">
        <f>IF(OR(Table1[[#This Row],[Type]]=0,Table1[[#This Row],[Type]]&gt;=40),"JA","SD")</f>
        <v>SD</v>
      </c>
      <c r="F732" t="s">
        <v>1983</v>
      </c>
      <c r="G732" s="661" t="s">
        <v>2759</v>
      </c>
      <c r="J732" s="653" t="str">
        <f>IFERROR(VLOOKUP(ROWS($J$2:J732),$A$2:$B$996,2,FALSE),"")</f>
        <v/>
      </c>
    </row>
    <row r="733" spans="1:10" ht="15" customHeight="1" x14ac:dyDescent="0.2">
      <c r="A733">
        <f>IF(ISNUMBER(SEARCH(Cover!$H$13,Table1[[#This Row],[School District]])),MAX($A$1:A732)+1,0)</f>
        <v>0</v>
      </c>
      <c r="B733" t="s">
        <v>1721</v>
      </c>
      <c r="C733" s="1599">
        <v>49081030046</v>
      </c>
      <c r="D733" s="664">
        <v>46</v>
      </c>
      <c r="E733" t="str">
        <f>IF(OR(Table1[[#This Row],[Type]]=0,Table1[[#This Row],[Type]]&gt;=40),"JA","SD")</f>
        <v>JA</v>
      </c>
      <c r="F733" t="s">
        <v>1800</v>
      </c>
      <c r="G733" s="661" t="s">
        <v>2760</v>
      </c>
      <c r="J733" s="653" t="str">
        <f>IFERROR(VLOOKUP(ROWS($J$2:J733),$A$2:$B$996,2,FALSE),"")</f>
        <v/>
      </c>
    </row>
    <row r="734" spans="1:10" x14ac:dyDescent="0.2">
      <c r="A734">
        <f>IF(ISNUMBER(SEARCH(Cover!$H$13,Table1[[#This Row],[School District]])),MAX($A$1:A733)+1,0)</f>
        <v>0</v>
      </c>
      <c r="B734" s="661" t="s">
        <v>1340</v>
      </c>
      <c r="C734" s="1599">
        <v>19022016002</v>
      </c>
      <c r="D734" s="664">
        <v>2</v>
      </c>
      <c r="E734" t="str">
        <f>IF(OR(Table1[[#This Row],[Type]]=0,Table1[[#This Row],[Type]]&gt;=40),"JA","SD")</f>
        <v>SD</v>
      </c>
      <c r="F734" t="s">
        <v>3143</v>
      </c>
      <c r="G734" s="661" t="s">
        <v>2761</v>
      </c>
      <c r="J734" s="653" t="str">
        <f>IFERROR(VLOOKUP(ROWS($J$2:J734),$A$2:$B$996,2,FALSE),"")</f>
        <v/>
      </c>
    </row>
    <row r="735" spans="1:10" x14ac:dyDescent="0.2">
      <c r="A735">
        <f>IF(ISNUMBER(SEARCH(Cover!$H$13,Table1[[#This Row],[School District]])),MAX($A$1:A734)+1,0)</f>
        <v>0</v>
      </c>
      <c r="B735" t="s">
        <v>1634</v>
      </c>
      <c r="C735" s="1599">
        <v>1001172041</v>
      </c>
      <c r="D735" s="664">
        <v>41</v>
      </c>
      <c r="E735" t="str">
        <f>IF(OR(Table1[[#This Row],[Type]]=0,Table1[[#This Row],[Type]]&gt;=40),"JA","SD")</f>
        <v>JA</v>
      </c>
      <c r="F735" t="s">
        <v>1843</v>
      </c>
      <c r="G735" s="661" t="s">
        <v>2762</v>
      </c>
      <c r="J735" s="653" t="str">
        <f>IFERROR(VLOOKUP(ROWS($J$2:J735),$A$2:$B$996,2,FALSE),"")</f>
        <v/>
      </c>
    </row>
    <row r="736" spans="1:10" x14ac:dyDescent="0.2">
      <c r="A736">
        <f>IF(ISNUMBER(SEARCH(Cover!$H$13,Table1[[#This Row],[School District]])),MAX($A$1:A735)+1,0)</f>
        <v>0</v>
      </c>
      <c r="B736" s="661" t="s">
        <v>1629</v>
      </c>
      <c r="C736" s="1599">
        <v>1001172022</v>
      </c>
      <c r="D736" s="664">
        <v>22</v>
      </c>
      <c r="E736" t="str">
        <f>IF(OR(Table1[[#This Row],[Type]]=0,Table1[[#This Row],[Type]]&gt;=40),"JA","SD")</f>
        <v>SD</v>
      </c>
      <c r="F736" t="s">
        <v>1843</v>
      </c>
      <c r="G736" s="661" t="s">
        <v>2763</v>
      </c>
      <c r="J736" s="653" t="str">
        <f>IFERROR(VLOOKUP(ROWS($J$2:J736),$A$2:$B$996,2,FALSE),"")</f>
        <v/>
      </c>
    </row>
    <row r="737" spans="1:10" x14ac:dyDescent="0.2">
      <c r="A737">
        <f>IF(ISNUMBER(SEARCH(Cover!$H$13,Table1[[#This Row],[School District]])),MAX($A$1:A736)+1,0)</f>
        <v>0</v>
      </c>
      <c r="B737" s="661" t="s">
        <v>1984</v>
      </c>
      <c r="C737" s="1599">
        <v>33048208026</v>
      </c>
      <c r="D737" s="664">
        <v>26</v>
      </c>
      <c r="E737" t="str">
        <f>IF(OR(Table1[[#This Row],[Type]]=0,Table1[[#This Row],[Type]]&gt;=40),"JA","SD")</f>
        <v>SD</v>
      </c>
      <c r="F737" t="s">
        <v>1761</v>
      </c>
      <c r="G737" s="661" t="s">
        <v>2764</v>
      </c>
      <c r="J737" s="653" t="str">
        <f>IFERROR(VLOOKUP(ROWS($J$2:J737),$A$2:$B$996,2,FALSE),"")</f>
        <v/>
      </c>
    </row>
    <row r="738" spans="1:10" x14ac:dyDescent="0.2">
      <c r="A738">
        <f>IF(ISNUMBER(SEARCH(Cover!$H$13,Table1[[#This Row],[School District]])),MAX($A$1:A737)+1,0)</f>
        <v>0</v>
      </c>
      <c r="B738" s="661" t="s">
        <v>1985</v>
      </c>
      <c r="C738" s="1599">
        <v>13058001003</v>
      </c>
      <c r="D738" s="664">
        <v>3</v>
      </c>
      <c r="E738" t="str">
        <f>IF(OR(Table1[[#This Row],[Type]]=0,Table1[[#This Row],[Type]]&gt;=40),"JA","SD")</f>
        <v>SD</v>
      </c>
      <c r="F738" t="s">
        <v>1842</v>
      </c>
      <c r="G738" s="661" t="s">
        <v>2765</v>
      </c>
      <c r="J738" s="653" t="str">
        <f>IFERROR(VLOOKUP(ROWS($J$2:J738),$A$2:$B$996,2,FALSE),"")</f>
        <v/>
      </c>
    </row>
    <row r="739" spans="1:10" x14ac:dyDescent="0.2">
      <c r="A739">
        <f>IF(ISNUMBER(SEARCH(Cover!$H$13,Table1[[#This Row],[School District]])),MAX($A$1:A738)+1,0)</f>
        <v>0</v>
      </c>
      <c r="B739" s="661" t="s">
        <v>1602</v>
      </c>
      <c r="C739" s="1599">
        <v>3026204026</v>
      </c>
      <c r="D739" s="664">
        <v>26</v>
      </c>
      <c r="E739" t="str">
        <f>IF(OR(Table1[[#This Row],[Type]]=0,Table1[[#This Row],[Type]]&gt;=40),"JA","SD")</f>
        <v>SD</v>
      </c>
      <c r="F739" t="s">
        <v>1807</v>
      </c>
      <c r="G739" s="661" t="s">
        <v>2766</v>
      </c>
      <c r="J739" s="653" t="str">
        <f>IFERROR(VLOOKUP(ROWS($J$2:J739),$A$2:$B$996,2,FALSE),"")</f>
        <v/>
      </c>
    </row>
    <row r="740" spans="1:10" x14ac:dyDescent="0.2">
      <c r="A740">
        <f>IF(ISNUMBER(SEARCH(Cover!$H$13,Table1[[#This Row],[School District]])),MAX($A$1:A739)+1,0)</f>
        <v>0</v>
      </c>
      <c r="B740" s="661" t="s">
        <v>981</v>
      </c>
      <c r="C740" s="1599">
        <v>53090098002</v>
      </c>
      <c r="D740" s="664">
        <v>2</v>
      </c>
      <c r="E740" t="str">
        <f>IF(OR(Table1[[#This Row],[Type]]=0,Table1[[#This Row],[Type]]&gt;=40),"JA","SD")</f>
        <v>SD</v>
      </c>
      <c r="F740" t="s">
        <v>1847</v>
      </c>
      <c r="G740" s="661" t="s">
        <v>2767</v>
      </c>
      <c r="J740" s="653" t="str">
        <f>IFERROR(VLOOKUP(ROWS($J$2:J740),$A$2:$B$996,2,FALSE),"")</f>
        <v/>
      </c>
    </row>
    <row r="741" spans="1:10" x14ac:dyDescent="0.2">
      <c r="A741">
        <f>IF(ISNUMBER(SEARCH(Cover!$H$13,Table1[[#This Row],[School District]])),MAX($A$1:A740)+1,0)</f>
        <v>0</v>
      </c>
      <c r="B741" s="661" t="s">
        <v>1447</v>
      </c>
      <c r="C741" s="1599">
        <v>9010137002</v>
      </c>
      <c r="D741" s="664">
        <v>2</v>
      </c>
      <c r="E741" t="str">
        <f>IF(OR(Table1[[#This Row],[Type]]=0,Table1[[#This Row],[Type]]&gt;=40),"JA","SD")</f>
        <v>SD</v>
      </c>
      <c r="F741" t="s">
        <v>1851</v>
      </c>
      <c r="G741" s="661" t="s">
        <v>2768</v>
      </c>
      <c r="J741" s="653" t="str">
        <f>IFERROR(VLOOKUP(ROWS($J$2:J741),$A$2:$B$996,2,FALSE),"")</f>
        <v/>
      </c>
    </row>
    <row r="742" spans="1:10" x14ac:dyDescent="0.2">
      <c r="A742">
        <f>IF(ISNUMBER(SEARCH(Cover!$H$13,Table1[[#This Row],[School District]])),MAX($A$1:A741)+1,0)</f>
        <v>0</v>
      </c>
      <c r="B742" s="661" t="s">
        <v>1986</v>
      </c>
      <c r="C742" s="1599">
        <v>9010193017</v>
      </c>
      <c r="D742" s="664">
        <v>17</v>
      </c>
      <c r="E742" t="str">
        <f>IF(OR(Table1[[#This Row],[Type]]=0,Table1[[#This Row],[Type]]&gt;=40),"JA","SD")</f>
        <v>SD</v>
      </c>
      <c r="F742" t="s">
        <v>1851</v>
      </c>
      <c r="G742" s="661" t="s">
        <v>2769</v>
      </c>
      <c r="J742" s="653" t="str">
        <f>IFERROR(VLOOKUP(ROWS($J$2:J742),$A$2:$B$996,2,FALSE),"")</f>
        <v/>
      </c>
    </row>
    <row r="743" spans="1:10" x14ac:dyDescent="0.2">
      <c r="A743">
        <f>IF(ISNUMBER(SEARCH(Cover!$H$13,Table1[[#This Row],[School District]])),MAX($A$1:A742)+1,0)</f>
        <v>0</v>
      </c>
      <c r="B743" s="661" t="s">
        <v>1468</v>
      </c>
      <c r="C743" s="1599">
        <v>7016220017</v>
      </c>
      <c r="D743" s="664">
        <v>17</v>
      </c>
      <c r="E743" t="str">
        <f>IF(OR(Table1[[#This Row],[Type]]=0,Table1[[#This Row],[Type]]&gt;=40),"JA","SD")</f>
        <v>SD</v>
      </c>
      <c r="F743" t="s">
        <v>1766</v>
      </c>
      <c r="G743" s="661" t="s">
        <v>2770</v>
      </c>
      <c r="J743" s="653" t="str">
        <f>IFERROR(VLOOKUP(ROWS($J$2:J743),$A$2:$B$996,2,FALSE),"")</f>
        <v/>
      </c>
    </row>
    <row r="744" spans="1:10" ht="15" customHeight="1" x14ac:dyDescent="0.2">
      <c r="A744">
        <f>IF(ISNUMBER(SEARCH(Cover!$H$13,Table1[[#This Row],[School District]])),MAX($A$1:A743)+1,0)</f>
        <v>0</v>
      </c>
      <c r="B744" s="661" t="s">
        <v>1075</v>
      </c>
      <c r="C744" s="1599">
        <v>45079132026</v>
      </c>
      <c r="D744" s="664">
        <v>26</v>
      </c>
      <c r="E744" t="str">
        <f>IF(OR(Table1[[#This Row],[Type]]=0,Table1[[#This Row],[Type]]&gt;=40),"JA","SD")</f>
        <v>SD</v>
      </c>
      <c r="F744" t="s">
        <v>1853</v>
      </c>
      <c r="G744" s="661" t="s">
        <v>2771</v>
      </c>
      <c r="J744" s="653" t="str">
        <f>IFERROR(VLOOKUP(ROWS($J$2:J744),$A$2:$B$996,2,FALSE),"")</f>
        <v/>
      </c>
    </row>
    <row r="745" spans="1:10" ht="15" customHeight="1" x14ac:dyDescent="0.2">
      <c r="A745">
        <f>IF(ISNUMBER(SEARCH(Cover!$H$13,Table1[[#This Row],[School District]])),MAX($A$1:A744)+1,0)</f>
        <v>0</v>
      </c>
      <c r="B745" s="661" t="s">
        <v>1415</v>
      </c>
      <c r="C745" s="1599">
        <v>12051010026</v>
      </c>
      <c r="D745" s="664">
        <v>26</v>
      </c>
      <c r="E745" t="str">
        <f>IF(OR(Table1[[#This Row],[Type]]=0,Table1[[#This Row],[Type]]&gt;=40),"JA","SD")</f>
        <v>SD</v>
      </c>
      <c r="F745" t="s">
        <v>3190</v>
      </c>
      <c r="G745" s="661" t="s">
        <v>2772</v>
      </c>
      <c r="J745" s="653" t="str">
        <f>IFERROR(VLOOKUP(ROWS($J$2:J745),$A$2:$B$996,2,FALSE),"")</f>
        <v/>
      </c>
    </row>
    <row r="746" spans="1:10" ht="15" customHeight="1" x14ac:dyDescent="0.2">
      <c r="A746">
        <f>IF(ISNUMBER(SEARCH(Cover!$H$13,Table1[[#This Row],[School District]])),MAX($A$1:A745)+1,0)</f>
        <v>0</v>
      </c>
      <c r="B746" s="661" t="s">
        <v>902</v>
      </c>
      <c r="C746" s="1599" t="s">
        <v>903</v>
      </c>
      <c r="D746" s="664">
        <v>26</v>
      </c>
      <c r="E746" t="str">
        <f>IF(OR(Table1[[#This Row],[Type]]=0,Table1[[#This Row],[Type]]&gt;=40),"JA","SD")</f>
        <v>SD</v>
      </c>
      <c r="F746" t="s">
        <v>3132</v>
      </c>
      <c r="G746" s="661" t="s">
        <v>2773</v>
      </c>
      <c r="J746" s="653" t="str">
        <f>IFERROR(VLOOKUP(ROWS($J$2:J746),$A$2:$B$996,2,FALSE),"")</f>
        <v/>
      </c>
    </row>
    <row r="747" spans="1:10" x14ac:dyDescent="0.2">
      <c r="A747">
        <f>IF(ISNUMBER(SEARCH(Cover!$H$13,Table1[[#This Row],[School District]])),MAX($A$1:A746)+1,0)</f>
        <v>0</v>
      </c>
      <c r="B747" t="s">
        <v>1987</v>
      </c>
      <c r="C747" s="1599">
        <v>51084731045</v>
      </c>
      <c r="D747" s="664">
        <v>45</v>
      </c>
      <c r="E747" t="str">
        <f>IF(OR(Table1[[#This Row],[Type]]=0,Table1[[#This Row],[Type]]&gt;=40),"JA","SD")</f>
        <v>JA</v>
      </c>
      <c r="F747" t="s">
        <v>1788</v>
      </c>
      <c r="G747" s="661" t="s">
        <v>2774</v>
      </c>
      <c r="J747" s="653" t="str">
        <f>IFERROR(VLOOKUP(ROWS($J$2:J747),$A$2:$B$996,2,FALSE),"")</f>
        <v/>
      </c>
    </row>
    <row r="748" spans="1:10" x14ac:dyDescent="0.2">
      <c r="A748">
        <f>IF(ISNUMBER(SEARCH(Cover!$H$13,Table1[[#This Row],[School District]])),MAX($A$1:A747)+1,0)</f>
        <v>0</v>
      </c>
      <c r="B748" t="s">
        <v>1715</v>
      </c>
      <c r="C748" s="1599">
        <v>41057801060</v>
      </c>
      <c r="D748" s="664">
        <v>60</v>
      </c>
      <c r="E748" t="str">
        <f>IF(OR(Table1[[#This Row],[Type]]=0,Table1[[#This Row],[Type]]&gt;=40),"JA","SD")</f>
        <v>JA</v>
      </c>
      <c r="F748" t="s">
        <v>1774</v>
      </c>
      <c r="G748" s="661" t="s">
        <v>2775</v>
      </c>
      <c r="J748" s="653" t="str">
        <f>IFERROR(VLOOKUP(ROWS($J$2:J748),$A$2:$B$996,2,FALSE),"")</f>
        <v/>
      </c>
    </row>
    <row r="749" spans="1:10" x14ac:dyDescent="0.2">
      <c r="A749">
        <f>IF(ISNUMBER(SEARCH(Cover!$H$13,Table1[[#This Row],[School District]])),MAX($A$1:A748)+1,0)</f>
        <v>0</v>
      </c>
      <c r="B749" t="s">
        <v>1664</v>
      </c>
      <c r="C749" s="1599">
        <v>13000000047</v>
      </c>
      <c r="D749" s="664">
        <v>47</v>
      </c>
      <c r="E749" t="str">
        <f>IF(OR(Table1[[#This Row],[Type]]=0,Table1[[#This Row],[Type]]&gt;=40),"JA","SD")</f>
        <v>JA</v>
      </c>
      <c r="F749" t="s">
        <v>1988</v>
      </c>
      <c r="G749" s="661" t="s">
        <v>2776</v>
      </c>
      <c r="J749" s="653" t="str">
        <f>IFERROR(VLOOKUP(ROWS($J$2:J749),$A$2:$B$996,2,FALSE),"")</f>
        <v/>
      </c>
    </row>
    <row r="750" spans="1:10" x14ac:dyDescent="0.2">
      <c r="A750">
        <f>IF(ISNUMBER(SEARCH(Cover!$H$13,Table1[[#This Row],[School District]])),MAX($A$1:A749)+1,0)</f>
        <v>0</v>
      </c>
      <c r="B750" s="661" t="s">
        <v>1548</v>
      </c>
      <c r="C750" s="1599">
        <v>6016084502</v>
      </c>
      <c r="D750" s="664">
        <v>2</v>
      </c>
      <c r="E750" t="str">
        <f>IF(OR(Table1[[#This Row],[Type]]=0,Table1[[#This Row],[Type]]&gt;=40),"JA","SD")</f>
        <v>SD</v>
      </c>
      <c r="F750" t="s">
        <v>1766</v>
      </c>
      <c r="G750" s="661" t="s">
        <v>2777</v>
      </c>
      <c r="J750" s="653" t="str">
        <f>IFERROR(VLOOKUP(ROWS($J$2:J750),$A$2:$B$996,2,FALSE),"")</f>
        <v/>
      </c>
    </row>
    <row r="751" spans="1:10" x14ac:dyDescent="0.2">
      <c r="A751">
        <f>IF(ISNUMBER(SEARCH(Cover!$H$13,Table1[[#This Row],[School District]])),MAX($A$1:A750)+1,0)</f>
        <v>0</v>
      </c>
      <c r="B751" s="661" t="s">
        <v>1467</v>
      </c>
      <c r="C751" s="1599">
        <v>7016227017</v>
      </c>
      <c r="D751" s="664">
        <v>17</v>
      </c>
      <c r="E751" t="str">
        <f>IF(OR(Table1[[#This Row],[Type]]=0,Table1[[#This Row],[Type]]&gt;=40),"JA","SD")</f>
        <v>SD</v>
      </c>
      <c r="F751" t="s">
        <v>1766</v>
      </c>
      <c r="G751" s="661" t="s">
        <v>2778</v>
      </c>
      <c r="J751" s="653" t="str">
        <f>IFERROR(VLOOKUP(ROWS($J$2:J751),$A$2:$B$996,2,FALSE),"")</f>
        <v/>
      </c>
    </row>
    <row r="752" spans="1:10" x14ac:dyDescent="0.2">
      <c r="A752">
        <f>IF(ISNUMBER(SEARCH(Cover!$H$13,Table1[[#This Row],[School District]])),MAX($A$1:A751)+1,0)</f>
        <v>0</v>
      </c>
      <c r="B752" s="661" t="s">
        <v>1989</v>
      </c>
      <c r="C752" s="1599">
        <v>12080001026</v>
      </c>
      <c r="D752" s="664">
        <v>26</v>
      </c>
      <c r="E752" t="str">
        <f>IF(OR(Table1[[#This Row],[Type]]=0,Table1[[#This Row],[Type]]&gt;=40),"JA","SD")</f>
        <v>SD</v>
      </c>
      <c r="F752" t="s">
        <v>3227</v>
      </c>
      <c r="G752" s="661" t="s">
        <v>2779</v>
      </c>
      <c r="J752" s="653" t="str">
        <f>IFERROR(VLOOKUP(ROWS($J$2:J752),$A$2:$B$996,2,FALSE),"")</f>
        <v/>
      </c>
    </row>
    <row r="753" spans="1:10" x14ac:dyDescent="0.2">
      <c r="A753">
        <f>IF(ISNUMBER(SEARCH(Cover!$H$13,Table1[[#This Row],[School District]])),MAX($A$1:A752)+1,0)</f>
        <v>0</v>
      </c>
      <c r="B753" s="661" t="s">
        <v>913</v>
      </c>
      <c r="C753" s="1599" t="s">
        <v>914</v>
      </c>
      <c r="D753" s="664">
        <v>2</v>
      </c>
      <c r="E753" t="str">
        <f>IF(OR(Table1[[#This Row],[Type]]=0,Table1[[#This Row],[Type]]&gt;=40),"JA","SD")</f>
        <v>SD</v>
      </c>
      <c r="F753" t="s">
        <v>1793</v>
      </c>
      <c r="G753" s="661" t="s">
        <v>2780</v>
      </c>
      <c r="J753" s="653" t="str">
        <f>IFERROR(VLOOKUP(ROWS($J$2:J753),$A$2:$B$996,2,FALSE),"")</f>
        <v/>
      </c>
    </row>
    <row r="754" spans="1:10" x14ac:dyDescent="0.2">
      <c r="A754">
        <f>IF(ISNUMBER(SEARCH(Cover!$H$13,Table1[[#This Row],[School District]])),MAX($A$1:A753)+1,0)</f>
        <v>0</v>
      </c>
      <c r="B754" s="661" t="s">
        <v>1080</v>
      </c>
      <c r="C754" s="1599">
        <v>44063157016</v>
      </c>
      <c r="D754" s="664">
        <v>16</v>
      </c>
      <c r="E754" t="str">
        <f>IF(OR(Table1[[#This Row],[Type]]=0,Table1[[#This Row],[Type]]&gt;=40),"JA","SD")</f>
        <v>SD</v>
      </c>
      <c r="F754" t="s">
        <v>3152</v>
      </c>
      <c r="G754" s="661" t="s">
        <v>2781</v>
      </c>
      <c r="J754" s="653" t="str">
        <f>IFERROR(VLOOKUP(ROWS($J$2:J754),$A$2:$B$996,2,FALSE),"")</f>
        <v/>
      </c>
    </row>
    <row r="755" spans="1:10" x14ac:dyDescent="0.2">
      <c r="A755">
        <f>IF(ISNUMBER(SEARCH(Cover!$H$13,Table1[[#This Row],[School District]])),MAX($A$1:A754)+1,0)</f>
        <v>0</v>
      </c>
      <c r="B755" s="661" t="s">
        <v>1513</v>
      </c>
      <c r="C755" s="1599">
        <v>7016122002</v>
      </c>
      <c r="D755" s="664">
        <v>2</v>
      </c>
      <c r="E755" t="str">
        <f>IF(OR(Table1[[#This Row],[Type]]=0,Table1[[#This Row],[Type]]&gt;=40),"JA","SD")</f>
        <v>SD</v>
      </c>
      <c r="F755" t="s">
        <v>1766</v>
      </c>
      <c r="G755" s="661" t="s">
        <v>2782</v>
      </c>
      <c r="J755" s="653" t="str">
        <f>IFERROR(VLOOKUP(ROWS($J$2:J755),$A$2:$B$996,2,FALSE),"")</f>
        <v/>
      </c>
    </row>
    <row r="756" spans="1:10" x14ac:dyDescent="0.2">
      <c r="A756">
        <f>IF(ISNUMBER(SEARCH(Cover!$H$13,Table1[[#This Row],[School District]])),MAX($A$1:A755)+1,0)</f>
        <v>0</v>
      </c>
      <c r="B756" s="661" t="s">
        <v>1350</v>
      </c>
      <c r="C756" s="1599">
        <v>17064019026</v>
      </c>
      <c r="D756" s="664">
        <v>26</v>
      </c>
      <c r="E756" t="str">
        <f>IF(OR(Table1[[#This Row],[Type]]=0,Table1[[#This Row],[Type]]&gt;=40),"JA","SD")</f>
        <v>SD</v>
      </c>
      <c r="F756" t="s">
        <v>1801</v>
      </c>
      <c r="G756" s="661" t="s">
        <v>2783</v>
      </c>
      <c r="J756" s="653" t="str">
        <f>IFERROR(VLOOKUP(ROWS($J$2:J756),$A$2:$B$996,2,FALSE),"")</f>
        <v/>
      </c>
    </row>
    <row r="757" spans="1:10" x14ac:dyDescent="0.2">
      <c r="A757">
        <f>IF(ISNUMBER(SEARCH(Cover!$H$13,Table1[[#This Row],[School District]])),MAX($A$1:A756)+1,0)</f>
        <v>0</v>
      </c>
      <c r="B757" s="661" t="s">
        <v>1990</v>
      </c>
      <c r="C757" s="1599">
        <v>6016234016</v>
      </c>
      <c r="D757" s="664">
        <v>16</v>
      </c>
      <c r="E757" t="str">
        <f>IF(OR(Table1[[#This Row],[Type]]=0,Table1[[#This Row],[Type]]&gt;=40),"JA","SD")</f>
        <v>SD</v>
      </c>
      <c r="F757" t="s">
        <v>1766</v>
      </c>
      <c r="G757" s="661" t="s">
        <v>2784</v>
      </c>
      <c r="J757" s="653" t="str">
        <f>IFERROR(VLOOKUP(ROWS($J$2:J757),$A$2:$B$996,2,FALSE),"")</f>
        <v/>
      </c>
    </row>
    <row r="758" spans="1:10" x14ac:dyDescent="0.2">
      <c r="A758">
        <f>IF(ISNUMBER(SEARCH(Cover!$H$13,Table1[[#This Row],[School District]])),MAX($A$1:A757)+1,0)</f>
        <v>0</v>
      </c>
      <c r="B758" s="661" t="s">
        <v>1089</v>
      </c>
      <c r="C758" s="1599">
        <v>44063018004</v>
      </c>
      <c r="D758" s="664">
        <v>4</v>
      </c>
      <c r="E758" t="str">
        <f>IF(OR(Table1[[#This Row],[Type]]=0,Table1[[#This Row],[Type]]&gt;=40),"JA","SD")</f>
        <v>SD</v>
      </c>
      <c r="F758" t="s">
        <v>1769</v>
      </c>
      <c r="G758" s="661" t="s">
        <v>2785</v>
      </c>
      <c r="J758" s="653" t="str">
        <f>IFERROR(VLOOKUP(ROWS($J$2:J758),$A$2:$B$996,2,FALSE),"")</f>
        <v/>
      </c>
    </row>
    <row r="759" spans="1:10" x14ac:dyDescent="0.2">
      <c r="A759">
        <f>IF(ISNUMBER(SEARCH(Cover!$H$13,Table1[[#This Row],[School District]])),MAX($A$1:A758)+1,0)</f>
        <v>0</v>
      </c>
      <c r="B759" s="661" t="s">
        <v>1055</v>
      </c>
      <c r="C759" s="1599">
        <v>47098002026</v>
      </c>
      <c r="D759" s="664">
        <v>26</v>
      </c>
      <c r="E759" t="str">
        <f>IF(OR(Table1[[#This Row],[Type]]=0,Table1[[#This Row],[Type]]&gt;=40),"JA","SD")</f>
        <v>SD</v>
      </c>
      <c r="F759" t="s">
        <v>1798</v>
      </c>
      <c r="G759" s="661" t="s">
        <v>2786</v>
      </c>
      <c r="J759" s="653" t="str">
        <f>IFERROR(VLOOKUP(ROWS($J$2:J759),$A$2:$B$996,2,FALSE),"")</f>
        <v/>
      </c>
    </row>
    <row r="760" spans="1:10" x14ac:dyDescent="0.2">
      <c r="A760">
        <f>IF(ISNUMBER(SEARCH(Cover!$H$13,Table1[[#This Row],[School District]])),MAX($A$1:A759)+1,0)</f>
        <v>0</v>
      </c>
      <c r="B760" s="661" t="s">
        <v>1543</v>
      </c>
      <c r="C760" s="1599">
        <v>6016090002</v>
      </c>
      <c r="D760" s="664">
        <v>2</v>
      </c>
      <c r="E760" t="str">
        <f>IF(OR(Table1[[#This Row],[Type]]=0,Table1[[#This Row],[Type]]&gt;=40),"JA","SD")</f>
        <v>SD</v>
      </c>
      <c r="F760" t="s">
        <v>1766</v>
      </c>
      <c r="G760" s="661" t="s">
        <v>2787</v>
      </c>
      <c r="J760" s="653" t="str">
        <f>IFERROR(VLOOKUP(ROWS($J$2:J760),$A$2:$B$996,2,FALSE),"")</f>
        <v/>
      </c>
    </row>
    <row r="761" spans="1:10" x14ac:dyDescent="0.2">
      <c r="A761">
        <f>IF(ISNUMBER(SEARCH(Cover!$H$13,Table1[[#This Row],[School District]])),MAX($A$1:A760)+1,0)</f>
        <v>0</v>
      </c>
      <c r="B761" s="661" t="s">
        <v>1547</v>
      </c>
      <c r="C761" s="1599">
        <v>6016085502</v>
      </c>
      <c r="D761" s="664">
        <v>2</v>
      </c>
      <c r="E761" t="str">
        <f>IF(OR(Table1[[#This Row],[Type]]=0,Table1[[#This Row],[Type]]&gt;=40),"JA","SD")</f>
        <v>SD</v>
      </c>
      <c r="F761" t="s">
        <v>1766</v>
      </c>
      <c r="G761" s="661" t="s">
        <v>2788</v>
      </c>
      <c r="J761" s="653" t="str">
        <f>IFERROR(VLOOKUP(ROWS($J$2:J761),$A$2:$B$996,2,FALSE),"")</f>
        <v/>
      </c>
    </row>
    <row r="762" spans="1:10" x14ac:dyDescent="0.2">
      <c r="A762">
        <f>IF(ISNUMBER(SEARCH(Cover!$H$13,Table1[[#This Row],[School District]])),MAX($A$1:A761)+1,0)</f>
        <v>0</v>
      </c>
      <c r="B762" s="661" t="s">
        <v>1456</v>
      </c>
      <c r="C762" s="1599">
        <v>8043210026</v>
      </c>
      <c r="D762" s="664">
        <v>26</v>
      </c>
      <c r="E762" t="str">
        <f>IF(OR(Table1[[#This Row],[Type]]=0,Table1[[#This Row],[Type]]&gt;=40),"JA","SD")</f>
        <v>SD</v>
      </c>
      <c r="F762" t="s">
        <v>1885</v>
      </c>
      <c r="G762" s="661" t="s">
        <v>2789</v>
      </c>
      <c r="J762" s="653" t="str">
        <f>IFERROR(VLOOKUP(ROWS($J$2:J762),$A$2:$B$996,2,FALSE),"")</f>
        <v/>
      </c>
    </row>
    <row r="763" spans="1:10" x14ac:dyDescent="0.2">
      <c r="A763">
        <f>IF(ISNUMBER(SEARCH(Cover!$H$13,Table1[[#This Row],[School District]])),MAX($A$1:A762)+1,0)</f>
        <v>0</v>
      </c>
      <c r="B763" s="661" t="s">
        <v>1583</v>
      </c>
      <c r="C763" s="1599">
        <v>5016026002</v>
      </c>
      <c r="D763" s="664">
        <v>2</v>
      </c>
      <c r="E763" t="str">
        <f>IF(OR(Table1[[#This Row],[Type]]=0,Table1[[#This Row],[Type]]&gt;=40),"JA","SD")</f>
        <v>SD</v>
      </c>
      <c r="F763" t="s">
        <v>1766</v>
      </c>
      <c r="G763" s="661" t="s">
        <v>2790</v>
      </c>
      <c r="J763" s="653" t="str">
        <f>IFERROR(VLOOKUP(ROWS($J$2:J763),$A$2:$B$996,2,FALSE),"")</f>
        <v/>
      </c>
    </row>
    <row r="764" spans="1:10" x14ac:dyDescent="0.2">
      <c r="A764">
        <f>IF(ISNUMBER(SEARCH(Cover!$H$13,Table1[[#This Row],[School District]])),MAX($A$1:A763)+1,0)</f>
        <v>0</v>
      </c>
      <c r="B764" s="661" t="s">
        <v>1027</v>
      </c>
      <c r="C764" s="1599">
        <v>49081100026</v>
      </c>
      <c r="D764" s="664">
        <v>26</v>
      </c>
      <c r="E764" t="str">
        <f>IF(OR(Table1[[#This Row],[Type]]=0,Table1[[#This Row],[Type]]&gt;=40),"JA","SD")</f>
        <v>SD</v>
      </c>
      <c r="F764" t="s">
        <v>1800</v>
      </c>
      <c r="G764" s="661" t="s">
        <v>2791</v>
      </c>
      <c r="J764" s="653" t="str">
        <f>IFERROR(VLOOKUP(ROWS($J$2:J764),$A$2:$B$996,2,FALSE),"")</f>
        <v/>
      </c>
    </row>
    <row r="765" spans="1:10" x14ac:dyDescent="0.2">
      <c r="A765">
        <f>IF(ISNUMBER(SEARCH(Cover!$H$13,Table1[[#This Row],[School District]])),MAX($A$1:A764)+1,0)</f>
        <v>0</v>
      </c>
      <c r="B765" s="661" t="s">
        <v>1536</v>
      </c>
      <c r="C765" s="1599">
        <v>6016096002</v>
      </c>
      <c r="D765" s="664">
        <v>2</v>
      </c>
      <c r="E765" t="str">
        <f>IF(OR(Table1[[#This Row],[Type]]=0,Table1[[#This Row],[Type]]&gt;=40),"JA","SD")</f>
        <v>SD</v>
      </c>
      <c r="F765" t="s">
        <v>1766</v>
      </c>
      <c r="G765" s="661" t="s">
        <v>2792</v>
      </c>
      <c r="J765" s="653" t="str">
        <f>IFERROR(VLOOKUP(ROWS($J$2:J765),$A$2:$B$996,2,FALSE),"")</f>
        <v/>
      </c>
    </row>
    <row r="766" spans="1:10" x14ac:dyDescent="0.2">
      <c r="A766">
        <f>IF(ISNUMBER(SEARCH(Cover!$H$13,Table1[[#This Row],[School District]])),MAX($A$1:A765)+1,0)</f>
        <v>0</v>
      </c>
      <c r="B766" s="661" t="s">
        <v>1991</v>
      </c>
      <c r="C766" s="1599">
        <v>6016208017</v>
      </c>
      <c r="D766" s="664">
        <v>17</v>
      </c>
      <c r="E766" t="str">
        <f>IF(OR(Table1[[#This Row],[Type]]=0,Table1[[#This Row],[Type]]&gt;=40),"JA","SD")</f>
        <v>SD</v>
      </c>
      <c r="F766" t="s">
        <v>1766</v>
      </c>
      <c r="G766" s="661" t="s">
        <v>2793</v>
      </c>
      <c r="J766" s="653" t="str">
        <f>IFERROR(VLOOKUP(ROWS($J$2:J766),$A$2:$B$996,2,FALSE),"")</f>
        <v/>
      </c>
    </row>
    <row r="767" spans="1:10" x14ac:dyDescent="0.2">
      <c r="A767">
        <f>IF(ISNUMBER(SEARCH(Cover!$H$13,Table1[[#This Row],[School District]])),MAX($A$1:A766)+1,0)</f>
        <v>0</v>
      </c>
      <c r="B767" s="661" t="s">
        <v>994</v>
      </c>
      <c r="C767" s="1599">
        <v>51084014026</v>
      </c>
      <c r="D767" s="664">
        <v>26</v>
      </c>
      <c r="E767" t="str">
        <f>IF(OR(Table1[[#This Row],[Type]]=0,Table1[[#This Row],[Type]]&gt;=40),"JA","SD")</f>
        <v>SD</v>
      </c>
      <c r="F767" t="s">
        <v>1788</v>
      </c>
      <c r="G767" s="661" t="s">
        <v>2794</v>
      </c>
      <c r="J767" s="653" t="str">
        <f>IFERROR(VLOOKUP(ROWS($J$2:J767),$A$2:$B$996,2,FALSE),"")</f>
        <v/>
      </c>
    </row>
    <row r="768" spans="1:10" x14ac:dyDescent="0.2">
      <c r="A768">
        <f>IF(ISNUMBER(SEARCH(Cover!$H$13,Table1[[#This Row],[School District]])),MAX($A$1:A767)+1,0)</f>
        <v>0</v>
      </c>
      <c r="B768" s="661" t="s">
        <v>970</v>
      </c>
      <c r="C768" s="1599">
        <v>53102002004</v>
      </c>
      <c r="D768" s="664">
        <v>4</v>
      </c>
      <c r="E768" t="str">
        <f>IF(OR(Table1[[#This Row],[Type]]=0,Table1[[#This Row],[Type]]&gt;=40),"JA","SD")</f>
        <v>SD</v>
      </c>
      <c r="F768" t="s">
        <v>1846</v>
      </c>
      <c r="G768" s="661" t="s">
        <v>2795</v>
      </c>
      <c r="J768" s="653" t="str">
        <f>IFERROR(VLOOKUP(ROWS($J$2:J768),$A$2:$B$996,2,FALSE),"")</f>
        <v/>
      </c>
    </row>
    <row r="769" spans="1:10" x14ac:dyDescent="0.2">
      <c r="A769">
        <f>IF(ISNUMBER(SEARCH(Cover!$H$13,Table1[[#This Row],[School District]])),MAX($A$1:A768)+1,0)</f>
        <v>0</v>
      </c>
      <c r="B769" s="661" t="s">
        <v>966</v>
      </c>
      <c r="C769" s="1599">
        <v>53102060026</v>
      </c>
      <c r="D769" s="664">
        <v>26</v>
      </c>
      <c r="E769" t="str">
        <f>IF(OR(Table1[[#This Row],[Type]]=0,Table1[[#This Row],[Type]]&gt;=40),"JA","SD")</f>
        <v>SD</v>
      </c>
      <c r="F769" t="s">
        <v>1846</v>
      </c>
      <c r="G769" s="661" t="s">
        <v>2796</v>
      </c>
      <c r="J769" s="653" t="str">
        <f>IFERROR(VLOOKUP(ROWS($J$2:J769),$A$2:$B$996,2,FALSE),"")</f>
        <v/>
      </c>
    </row>
    <row r="770" spans="1:10" x14ac:dyDescent="0.2">
      <c r="A770">
        <f>IF(ISNUMBER(SEARCH(Cover!$H$13,Table1[[#This Row],[School District]])),MAX($A$1:A769)+1,0)</f>
        <v>0</v>
      </c>
      <c r="B770" s="661" t="s">
        <v>983</v>
      </c>
      <c r="C770" s="1599">
        <v>53090085002</v>
      </c>
      <c r="D770" s="664">
        <v>2</v>
      </c>
      <c r="E770" t="str">
        <f>IF(OR(Table1[[#This Row],[Type]]=0,Table1[[#This Row],[Type]]&gt;=40),"JA","SD")</f>
        <v>SD</v>
      </c>
      <c r="F770" t="s">
        <v>1847</v>
      </c>
      <c r="G770" s="661" t="s">
        <v>2797</v>
      </c>
      <c r="J770" s="653" t="str">
        <f>IFERROR(VLOOKUP(ROWS($J$2:J770),$A$2:$B$996,2,FALSE),"")</f>
        <v/>
      </c>
    </row>
    <row r="771" spans="1:10" x14ac:dyDescent="0.2">
      <c r="A771">
        <f>IF(ISNUMBER(SEARCH(Cover!$H$13,Table1[[#This Row],[School District]])),MAX($A$1:A770)+1,0)</f>
        <v>0</v>
      </c>
      <c r="B771" s="661" t="s">
        <v>1418</v>
      </c>
      <c r="C771" s="1599">
        <v>12017002026</v>
      </c>
      <c r="D771" s="664">
        <v>26</v>
      </c>
      <c r="E771" t="str">
        <f>IF(OR(Table1[[#This Row],[Type]]=0,Table1[[#This Row],[Type]]&gt;=40),"JA","SD")</f>
        <v>SD</v>
      </c>
      <c r="F771" t="s">
        <v>1919</v>
      </c>
      <c r="G771" s="661" t="s">
        <v>2798</v>
      </c>
      <c r="J771" s="653" t="str">
        <f>IFERROR(VLOOKUP(ROWS($J$2:J771),$A$2:$B$996,2,FALSE),"")</f>
        <v/>
      </c>
    </row>
    <row r="772" spans="1:10" x14ac:dyDescent="0.2">
      <c r="A772">
        <f>IF(ISNUMBER(SEARCH(Cover!$H$13,Table1[[#This Row],[School District]])),MAX($A$1:A771)+1,0)</f>
        <v>0</v>
      </c>
      <c r="B772" s="661" t="s">
        <v>1058</v>
      </c>
      <c r="C772" s="1599">
        <v>47071231004</v>
      </c>
      <c r="D772" s="664">
        <v>4</v>
      </c>
      <c r="E772" t="str">
        <f>IF(OR(Table1[[#This Row],[Type]]=0,Table1[[#This Row],[Type]]&gt;=40),"JA","SD")</f>
        <v>SD</v>
      </c>
      <c r="F772" t="s">
        <v>3279</v>
      </c>
      <c r="G772" s="661" t="s">
        <v>2799</v>
      </c>
      <c r="J772" s="653" t="str">
        <f>IFERROR(VLOOKUP(ROWS($J$2:J772),$A$2:$B$996,2,FALSE),"")</f>
        <v/>
      </c>
    </row>
    <row r="773" spans="1:10" x14ac:dyDescent="0.2">
      <c r="A773">
        <f>IF(ISNUMBER(SEARCH(Cover!$H$13,Table1[[#This Row],[School District]])),MAX($A$1:A772)+1,0)</f>
        <v>0</v>
      </c>
      <c r="B773" s="661" t="s">
        <v>1064</v>
      </c>
      <c r="C773" s="1599">
        <v>47071212017</v>
      </c>
      <c r="D773" s="664">
        <v>17</v>
      </c>
      <c r="E773" t="str">
        <f>IF(OR(Table1[[#This Row],[Type]]=0,Table1[[#This Row],[Type]]&gt;=40),"JA","SD")</f>
        <v>SD</v>
      </c>
      <c r="F773" t="s">
        <v>3280</v>
      </c>
      <c r="G773" s="661" t="s">
        <v>2800</v>
      </c>
      <c r="J773" s="653" t="str">
        <f>IFERROR(VLOOKUP(ROWS($J$2:J773),$A$2:$B$996,2,FALSE),"")</f>
        <v/>
      </c>
    </row>
    <row r="774" spans="1:10" x14ac:dyDescent="0.2">
      <c r="A774">
        <f>IF(ISNUMBER(SEARCH(Cover!$H$13,Table1[[#This Row],[School District]])),MAX($A$1:A773)+1,0)</f>
        <v>0</v>
      </c>
      <c r="B774" s="661" t="s">
        <v>919</v>
      </c>
      <c r="C774" s="1599" t="s">
        <v>920</v>
      </c>
      <c r="D774" s="664">
        <v>26</v>
      </c>
      <c r="E774" t="str">
        <f>IF(OR(Table1[[#This Row],[Type]]=0,Table1[[#This Row],[Type]]&gt;=40),"JA","SD")</f>
        <v>SD</v>
      </c>
      <c r="F774" t="s">
        <v>3281</v>
      </c>
      <c r="G774" s="661" t="s">
        <v>2801</v>
      </c>
      <c r="J774" s="653" t="str">
        <f>IFERROR(VLOOKUP(ROWS($J$2:J774),$A$2:$B$996,2,FALSE),"")</f>
        <v/>
      </c>
    </row>
    <row r="775" spans="1:10" x14ac:dyDescent="0.2">
      <c r="A775">
        <f>IF(ISNUMBER(SEARCH(Cover!$H$13,Table1[[#This Row],[School District]])),MAX($A$1:A774)+1,0)</f>
        <v>0</v>
      </c>
      <c r="B775" s="661" t="s">
        <v>1052</v>
      </c>
      <c r="C775" s="1599">
        <v>47098013002</v>
      </c>
      <c r="D775" s="664">
        <v>2</v>
      </c>
      <c r="E775" t="str">
        <f>IF(OR(Table1[[#This Row],[Type]]=0,Table1[[#This Row],[Type]]&gt;=40),"JA","SD")</f>
        <v>SD</v>
      </c>
      <c r="F775" t="s">
        <v>1798</v>
      </c>
      <c r="G775" s="661" t="s">
        <v>2802</v>
      </c>
      <c r="J775" s="653" t="str">
        <f>IFERROR(VLOOKUP(ROWS($J$2:J775),$A$2:$B$996,2,FALSE),"")</f>
        <v/>
      </c>
    </row>
    <row r="776" spans="1:10" x14ac:dyDescent="0.2">
      <c r="A776">
        <f>IF(ISNUMBER(SEARCH(Cover!$H$13,Table1[[#This Row],[School District]])),MAX($A$1:A775)+1,0)</f>
        <v>0</v>
      </c>
      <c r="B776" s="661" t="s">
        <v>1050</v>
      </c>
      <c r="C776" s="1599">
        <v>47098301017</v>
      </c>
      <c r="D776" s="664">
        <v>17</v>
      </c>
      <c r="E776" t="str">
        <f>IF(OR(Table1[[#This Row],[Type]]=0,Table1[[#This Row],[Type]]&gt;=40),"JA","SD")</f>
        <v>SD</v>
      </c>
      <c r="F776" t="s">
        <v>1798</v>
      </c>
      <c r="G776" s="661" t="s">
        <v>2803</v>
      </c>
      <c r="J776" s="653" t="str">
        <f>IFERROR(VLOOKUP(ROWS($J$2:J776),$A$2:$B$996,2,FALSE),"")</f>
        <v/>
      </c>
    </row>
    <row r="777" spans="1:10" x14ac:dyDescent="0.2">
      <c r="A777">
        <f>IF(ISNUMBER(SEARCH(Cover!$H$13,Table1[[#This Row],[School District]])),MAX($A$1:A776)+1,0)</f>
        <v>0</v>
      </c>
      <c r="B777" s="661" t="s">
        <v>1028</v>
      </c>
      <c r="C777" s="1599">
        <v>49081041025</v>
      </c>
      <c r="D777" s="664">
        <v>25</v>
      </c>
      <c r="E777" t="str">
        <f>IF(OR(Table1[[#This Row],[Type]]=0,Table1[[#This Row],[Type]]&gt;=40),"JA","SD")</f>
        <v>SD</v>
      </c>
      <c r="F777" t="s">
        <v>1800</v>
      </c>
      <c r="G777" s="661" t="s">
        <v>2804</v>
      </c>
      <c r="J777" s="653" t="str">
        <f>IFERROR(VLOOKUP(ROWS($J$2:J777),$A$2:$B$996,2,FALSE),"")</f>
        <v/>
      </c>
    </row>
    <row r="778" spans="1:10" x14ac:dyDescent="0.2">
      <c r="A778">
        <f>IF(ISNUMBER(SEARCH(Cover!$H$13,Table1[[#This Row],[School District]])),MAX($A$1:A777)+1,0)</f>
        <v>0</v>
      </c>
      <c r="B778" s="661" t="s">
        <v>955</v>
      </c>
      <c r="C778" s="1599">
        <v>56099084002</v>
      </c>
      <c r="D778" s="664">
        <v>2</v>
      </c>
      <c r="E778" t="str">
        <f>IF(OR(Table1[[#This Row],[Type]]=0,Table1[[#This Row],[Type]]&gt;=40),"JA","SD")</f>
        <v>SD</v>
      </c>
      <c r="F778" t="s">
        <v>1793</v>
      </c>
      <c r="G778" s="661" t="s">
        <v>2805</v>
      </c>
      <c r="J778" s="653" t="str">
        <f>IFERROR(VLOOKUP(ROWS($J$2:J778),$A$2:$B$996,2,FALSE),"")</f>
        <v/>
      </c>
    </row>
    <row r="779" spans="1:10" x14ac:dyDescent="0.2">
      <c r="A779">
        <f>IF(ISNUMBER(SEARCH(Cover!$H$13,Table1[[#This Row],[School District]])),MAX($A$1:A778)+1,0)</f>
        <v>0</v>
      </c>
      <c r="B779" s="661" t="s">
        <v>1592</v>
      </c>
      <c r="C779" s="1599">
        <v>4101205025</v>
      </c>
      <c r="D779" s="664">
        <v>25</v>
      </c>
      <c r="E779" t="str">
        <f>IF(OR(Table1[[#This Row],[Type]]=0,Table1[[#This Row],[Type]]&gt;=40),"JA","SD")</f>
        <v>SD</v>
      </c>
      <c r="F779" t="s">
        <v>1828</v>
      </c>
      <c r="G779" s="661" t="s">
        <v>2806</v>
      </c>
      <c r="J779" s="653" t="str">
        <f>IFERROR(VLOOKUP(ROWS($J$2:J779),$A$2:$B$996,2,FALSE),"")</f>
        <v/>
      </c>
    </row>
    <row r="780" spans="1:10" x14ac:dyDescent="0.2">
      <c r="A780">
        <f>IF(ISNUMBER(SEARCH(Cover!$H$13,Table1[[#This Row],[School District]])),MAX($A$1:A779)+1,0)</f>
        <v>0</v>
      </c>
      <c r="B780" s="661" t="s">
        <v>1025</v>
      </c>
      <c r="C780" s="1599">
        <v>49081300026</v>
      </c>
      <c r="D780" s="664">
        <v>26</v>
      </c>
      <c r="E780" t="str">
        <f>IF(OR(Table1[[#This Row],[Type]]=0,Table1[[#This Row],[Type]]&gt;=40),"JA","SD")</f>
        <v>SD</v>
      </c>
      <c r="F780" t="s">
        <v>3282</v>
      </c>
      <c r="G780" s="661" t="s">
        <v>2807</v>
      </c>
      <c r="J780" s="653" t="str">
        <f>IFERROR(VLOOKUP(ROWS($J$2:J780),$A$2:$B$996,2,FALSE),"")</f>
        <v/>
      </c>
    </row>
    <row r="781" spans="1:10" x14ac:dyDescent="0.2">
      <c r="A781">
        <f>IF(ISNUMBER(SEARCH(Cover!$H$13,Table1[[#This Row],[School District]])),MAX($A$1:A780)+1,0)</f>
        <v>0</v>
      </c>
      <c r="B781" s="661" t="s">
        <v>1593</v>
      </c>
      <c r="C781" s="1599">
        <v>4101140004</v>
      </c>
      <c r="D781" s="664">
        <v>4</v>
      </c>
      <c r="E781" t="str">
        <f>IF(OR(Table1[[#This Row],[Type]]=0,Table1[[#This Row],[Type]]&gt;=40),"JA","SD")</f>
        <v>SD</v>
      </c>
      <c r="F781" t="s">
        <v>1828</v>
      </c>
      <c r="G781" s="661" t="s">
        <v>2808</v>
      </c>
      <c r="J781" s="653" t="str">
        <f>IFERROR(VLOOKUP(ROWS($J$2:J781),$A$2:$B$996,2,FALSE),"")</f>
        <v/>
      </c>
    </row>
    <row r="782" spans="1:10" x14ac:dyDescent="0.2">
      <c r="A782">
        <f>IF(ISNUMBER(SEARCH(Cover!$H$13,Table1[[#This Row],[School District]])),MAX($A$1:A781)+1,0)</f>
        <v>0</v>
      </c>
      <c r="B782" s="661" t="s">
        <v>1403</v>
      </c>
      <c r="C782" s="1599">
        <v>13041002004</v>
      </c>
      <c r="D782" s="664">
        <v>4</v>
      </c>
      <c r="E782" t="str">
        <f>IF(OR(Table1[[#This Row],[Type]]=0,Table1[[#This Row],[Type]]&gt;=40),"JA","SD")</f>
        <v>SD</v>
      </c>
      <c r="F782" t="s">
        <v>1797</v>
      </c>
      <c r="G782" s="661" t="s">
        <v>2809</v>
      </c>
      <c r="J782" s="653" t="str">
        <f>IFERROR(VLOOKUP(ROWS($J$2:J782),$A$2:$B$996,2,FALSE),"")</f>
        <v/>
      </c>
    </row>
    <row r="783" spans="1:10" x14ac:dyDescent="0.2">
      <c r="A783">
        <f>IF(ISNUMBER(SEARCH(Cover!$H$13,Table1[[#This Row],[School District]])),MAX($A$1:A782)+1,0)</f>
        <v>0</v>
      </c>
      <c r="B783" s="661" t="s">
        <v>1172</v>
      </c>
      <c r="C783" s="1599">
        <v>34049072002</v>
      </c>
      <c r="D783" s="664">
        <v>2</v>
      </c>
      <c r="E783" t="str">
        <f>IF(OR(Table1[[#This Row],[Type]]=0,Table1[[#This Row],[Type]]&gt;=40),"JA","SD")</f>
        <v>SD</v>
      </c>
      <c r="F783" t="s">
        <v>1765</v>
      </c>
      <c r="G783" s="661" t="s">
        <v>2810</v>
      </c>
      <c r="J783" s="653" t="str">
        <f>IFERROR(VLOOKUP(ROWS($J$2:J783),$A$2:$B$996,2,FALSE),"")</f>
        <v/>
      </c>
    </row>
    <row r="784" spans="1:10" x14ac:dyDescent="0.2">
      <c r="A784">
        <f>IF(ISNUMBER(SEARCH(Cover!$H$13,Table1[[#This Row],[School District]])),MAX($A$1:A783)+1,0)</f>
        <v>0</v>
      </c>
      <c r="B784" s="661" t="s">
        <v>1364</v>
      </c>
      <c r="C784" s="1599">
        <v>17053425004</v>
      </c>
      <c r="D784" s="664">
        <v>4</v>
      </c>
      <c r="E784" t="str">
        <f>IF(OR(Table1[[#This Row],[Type]]=0,Table1[[#This Row],[Type]]&gt;=40),"JA","SD")</f>
        <v>SD</v>
      </c>
      <c r="F784" t="s">
        <v>1866</v>
      </c>
      <c r="G784" s="661" t="s">
        <v>2811</v>
      </c>
      <c r="J784" s="653" t="str">
        <f>IFERROR(VLOOKUP(ROWS($J$2:J784),$A$2:$B$996,2,FALSE),"")</f>
        <v/>
      </c>
    </row>
    <row r="785" spans="1:10" x14ac:dyDescent="0.2">
      <c r="A785">
        <f>IF(ISNUMBER(SEARCH(Cover!$H$13,Table1[[#This Row],[School District]])),MAX($A$1:A784)+1,0)</f>
        <v>0</v>
      </c>
      <c r="B785" s="661" t="s">
        <v>1343</v>
      </c>
      <c r="C785" s="1599">
        <v>19022012002</v>
      </c>
      <c r="D785" s="664">
        <v>2</v>
      </c>
      <c r="E785" t="str">
        <f>IF(OR(Table1[[#This Row],[Type]]=0,Table1[[#This Row],[Type]]&gt;=40),"JA","SD")</f>
        <v>SD</v>
      </c>
      <c r="F785" t="s">
        <v>3143</v>
      </c>
      <c r="G785" s="661" t="s">
        <v>2812</v>
      </c>
      <c r="J785" s="653" t="str">
        <f>IFERROR(VLOOKUP(ROWS($J$2:J785),$A$2:$B$996,2,FALSE),"")</f>
        <v/>
      </c>
    </row>
    <row r="786" spans="1:10" x14ac:dyDescent="0.2">
      <c r="A786">
        <f>IF(ISNUMBER(SEARCH(Cover!$H$13,Table1[[#This Row],[School District]])),MAX($A$1:A785)+1,0)</f>
        <v>0</v>
      </c>
      <c r="B786" s="661" t="s">
        <v>1554</v>
      </c>
      <c r="C786" s="1599">
        <v>6016078002</v>
      </c>
      <c r="D786" s="664">
        <v>2</v>
      </c>
      <c r="E786" t="str">
        <f>IF(OR(Table1[[#This Row],[Type]]=0,Table1[[#This Row],[Type]]&gt;=40),"JA","SD")</f>
        <v>SD</v>
      </c>
      <c r="F786" t="s">
        <v>1766</v>
      </c>
      <c r="G786" s="661" t="s">
        <v>2813</v>
      </c>
      <c r="J786" s="653" t="str">
        <f>IFERROR(VLOOKUP(ROWS($J$2:J786),$A$2:$B$996,2,FALSE),"")</f>
        <v/>
      </c>
    </row>
    <row r="787" spans="1:10" x14ac:dyDescent="0.2">
      <c r="A787">
        <f>IF(ISNUMBER(SEARCH(Cover!$H$13,Table1[[#This Row],[School District]])),MAX($A$1:A786)+1,0)</f>
        <v>0</v>
      </c>
      <c r="B787" s="661" t="s">
        <v>963</v>
      </c>
      <c r="C787" s="1599">
        <v>54092007026</v>
      </c>
      <c r="D787" s="664">
        <v>26</v>
      </c>
      <c r="E787" t="str">
        <f>IF(OR(Table1[[#This Row],[Type]]=0,Table1[[#This Row],[Type]]&gt;=40),"JA","SD")</f>
        <v>SD</v>
      </c>
      <c r="F787" t="s">
        <v>1783</v>
      </c>
      <c r="G787" s="661" t="s">
        <v>2814</v>
      </c>
      <c r="J787" s="653" t="str">
        <f>IFERROR(VLOOKUP(ROWS($J$2:J787),$A$2:$B$996,2,FALSE),"")</f>
        <v/>
      </c>
    </row>
    <row r="788" spans="1:10" ht="15" customHeight="1" x14ac:dyDescent="0.2">
      <c r="A788">
        <f>IF(ISNUMBER(SEARCH(Cover!$H$13,Table1[[#This Row],[School District]])),MAX($A$1:A787)+1,0)</f>
        <v>0</v>
      </c>
      <c r="B788" s="661" t="s">
        <v>1158</v>
      </c>
      <c r="C788" s="1599">
        <v>34049116026</v>
      </c>
      <c r="D788" s="664">
        <v>26</v>
      </c>
      <c r="E788" t="str">
        <f>IF(OR(Table1[[#This Row],[Type]]=0,Table1[[#This Row],[Type]]&gt;=40),"JA","SD")</f>
        <v>SD</v>
      </c>
      <c r="F788" t="s">
        <v>1765</v>
      </c>
      <c r="G788" s="661" t="s">
        <v>2815</v>
      </c>
      <c r="J788" s="653" t="str">
        <f>IFERROR(VLOOKUP(ROWS($J$2:J788),$A$2:$B$996,2,FALSE),"")</f>
        <v/>
      </c>
    </row>
    <row r="789" spans="1:10" x14ac:dyDescent="0.2">
      <c r="A789">
        <f>IF(ISNUMBER(SEARCH(Cover!$H$13,Table1[[#This Row],[School District]])),MAX($A$1:A788)+1,0)</f>
        <v>0</v>
      </c>
      <c r="B789" s="661" t="s">
        <v>1104</v>
      </c>
      <c r="C789" s="1599">
        <v>41057001026</v>
      </c>
      <c r="D789" s="664">
        <v>26</v>
      </c>
      <c r="E789" t="str">
        <f>IF(OR(Table1[[#This Row],[Type]]=0,Table1[[#This Row],[Type]]&gt;=40),"JA","SD")</f>
        <v>SD</v>
      </c>
      <c r="F789" t="s">
        <v>1774</v>
      </c>
      <c r="G789" s="661" t="s">
        <v>2816</v>
      </c>
      <c r="J789" s="653" t="str">
        <f>IFERROR(VLOOKUP(ROWS($J$2:J789),$A$2:$B$996,2,FALSE),"")</f>
        <v/>
      </c>
    </row>
    <row r="790" spans="1:10" ht="15" customHeight="1" x14ac:dyDescent="0.2">
      <c r="A790">
        <f>IF(ISNUMBER(SEARCH(Cover!$H$13,Table1[[#This Row],[School District]])),MAX($A$1:A789)+1,0)</f>
        <v>0</v>
      </c>
      <c r="B790" t="s">
        <v>1659</v>
      </c>
      <c r="C790" s="1599">
        <v>9010801060</v>
      </c>
      <c r="D790" s="664">
        <v>60</v>
      </c>
      <c r="E790" t="str">
        <f>IF(OR(Table1[[#This Row],[Type]]=0,Table1[[#This Row],[Type]]&gt;=40),"JA","SD")</f>
        <v>JA</v>
      </c>
      <c r="F790" t="s">
        <v>1851</v>
      </c>
      <c r="G790" s="661" t="s">
        <v>2817</v>
      </c>
      <c r="J790" s="653" t="str">
        <f>IFERROR(VLOOKUP(ROWS($J$2:J790),$A$2:$B$996,2,FALSE),"")</f>
        <v/>
      </c>
    </row>
    <row r="791" spans="1:10" x14ac:dyDescent="0.2">
      <c r="A791">
        <f>IF(ISNUMBER(SEARCH(Cover!$H$13,Table1[[#This Row],[School District]])),MAX($A$1:A790)+1,0)</f>
        <v>0</v>
      </c>
      <c r="B791" s="661" t="s">
        <v>1127</v>
      </c>
      <c r="C791" s="1599">
        <v>35050230004</v>
      </c>
      <c r="D791" s="664">
        <v>4</v>
      </c>
      <c r="E791" t="str">
        <f>IF(OR(Table1[[#This Row],[Type]]=0,Table1[[#This Row],[Type]]&gt;=40),"JA","SD")</f>
        <v>SD</v>
      </c>
      <c r="F791" t="s">
        <v>3165</v>
      </c>
      <c r="G791" s="661" t="s">
        <v>2818</v>
      </c>
      <c r="J791" s="653" t="str">
        <f>IFERROR(VLOOKUP(ROWS($J$2:J791),$A$2:$B$996,2,FALSE),"")</f>
        <v/>
      </c>
    </row>
    <row r="792" spans="1:10" x14ac:dyDescent="0.2">
      <c r="A792">
        <f>IF(ISNUMBER(SEARCH(Cover!$H$13,Table1[[#This Row],[School District]])),MAX($A$1:A791)+1,0)</f>
        <v>0</v>
      </c>
      <c r="B792" s="661" t="s">
        <v>1386</v>
      </c>
      <c r="C792" s="1599">
        <v>13058600016</v>
      </c>
      <c r="D792" s="664">
        <v>16</v>
      </c>
      <c r="E792" t="str">
        <f>IF(OR(Table1[[#This Row],[Type]]=0,Table1[[#This Row],[Type]]&gt;=40),"JA","SD")</f>
        <v>SD</v>
      </c>
      <c r="F792" t="s">
        <v>1842</v>
      </c>
      <c r="G792" s="661" t="s">
        <v>2819</v>
      </c>
      <c r="J792" s="653" t="str">
        <f>IFERROR(VLOOKUP(ROWS($J$2:J792),$A$2:$B$996,2,FALSE),"")</f>
        <v/>
      </c>
    </row>
    <row r="793" spans="1:10" x14ac:dyDescent="0.2">
      <c r="A793">
        <f>IF(ISNUMBER(SEARCH(Cover!$H$13,Table1[[#This Row],[School District]])),MAX($A$1:A792)+1,0)</f>
        <v>0</v>
      </c>
      <c r="B793" s="661" t="s">
        <v>1391</v>
      </c>
      <c r="C793" s="1599">
        <v>13058111002</v>
      </c>
      <c r="D793" s="664">
        <v>2</v>
      </c>
      <c r="E793" t="str">
        <f>IF(OR(Table1[[#This Row],[Type]]=0,Table1[[#This Row],[Type]]&gt;=40),"JA","SD")</f>
        <v>SD</v>
      </c>
      <c r="F793" t="s">
        <v>1842</v>
      </c>
      <c r="G793" s="661" t="s">
        <v>2820</v>
      </c>
      <c r="J793" s="653" t="str">
        <f>IFERROR(VLOOKUP(ROWS($J$2:J793),$A$2:$B$996,2,FALSE),"")</f>
        <v/>
      </c>
    </row>
    <row r="794" spans="1:10" x14ac:dyDescent="0.2">
      <c r="A794">
        <f>IF(ISNUMBER(SEARCH(Cover!$H$13,Table1[[#This Row],[School District]])),MAX($A$1:A793)+1,0)</f>
        <v>0</v>
      </c>
      <c r="B794" s="661" t="s">
        <v>1333</v>
      </c>
      <c r="C794" s="1599">
        <v>19022048002</v>
      </c>
      <c r="D794" s="664">
        <v>2</v>
      </c>
      <c r="E794" t="str">
        <f>IF(OR(Table1[[#This Row],[Type]]=0,Table1[[#This Row],[Type]]&gt;=40),"JA","SD")</f>
        <v>SD</v>
      </c>
      <c r="F794" t="s">
        <v>3143</v>
      </c>
      <c r="G794" s="661" t="s">
        <v>2821</v>
      </c>
      <c r="J794" s="653" t="str">
        <f>IFERROR(VLOOKUP(ROWS($J$2:J794),$A$2:$B$996,2,FALSE),"")</f>
        <v/>
      </c>
    </row>
    <row r="795" spans="1:10" x14ac:dyDescent="0.2">
      <c r="A795">
        <f>IF(ISNUMBER(SEARCH(Cover!$H$13,Table1[[#This Row],[School District]])),MAX($A$1:A794)+1,0)</f>
        <v>0</v>
      </c>
      <c r="B795" s="661" t="s">
        <v>1992</v>
      </c>
      <c r="C795" s="1599">
        <v>54092512026</v>
      </c>
      <c r="D795" s="664">
        <v>26</v>
      </c>
      <c r="E795" t="str">
        <f>IF(OR(Table1[[#This Row],[Type]]=0,Table1[[#This Row],[Type]]&gt;=40),"JA","SD")</f>
        <v>SD</v>
      </c>
      <c r="F795" t="s">
        <v>1783</v>
      </c>
      <c r="G795" s="661" t="s">
        <v>2822</v>
      </c>
      <c r="J795" s="653" t="str">
        <f>IFERROR(VLOOKUP(ROWS($J$2:J795),$A$2:$B$996,2,FALSE),"")</f>
        <v/>
      </c>
    </row>
    <row r="796" spans="1:10" x14ac:dyDescent="0.2">
      <c r="A796">
        <f>IF(ISNUMBER(SEARCH(Cover!$H$13,Table1[[#This Row],[School District]])),MAX($A$1:A795)+1,0)</f>
        <v>0</v>
      </c>
      <c r="B796" s="661" t="s">
        <v>1387</v>
      </c>
      <c r="C796" s="1599">
        <v>13058501026</v>
      </c>
      <c r="D796" s="664">
        <v>26</v>
      </c>
      <c r="E796" t="str">
        <f>IF(OR(Table1[[#This Row],[Type]]=0,Table1[[#This Row],[Type]]&gt;=40),"JA","SD")</f>
        <v>SD</v>
      </c>
      <c r="F796" t="s">
        <v>1842</v>
      </c>
      <c r="G796" s="661" t="s">
        <v>2823</v>
      </c>
      <c r="J796" s="653" t="str">
        <f>IFERROR(VLOOKUP(ROWS($J$2:J796),$A$2:$B$996,2,FALSE),"")</f>
        <v/>
      </c>
    </row>
    <row r="797" spans="1:10" x14ac:dyDescent="0.2">
      <c r="A797">
        <f>IF(ISNUMBER(SEARCH(Cover!$H$13,Table1[[#This Row],[School District]])),MAX($A$1:A796)+1,0)</f>
        <v>0</v>
      </c>
      <c r="B797" s="661" t="s">
        <v>1474</v>
      </c>
      <c r="C797" s="1599">
        <v>7016172002</v>
      </c>
      <c r="D797" s="664">
        <v>2</v>
      </c>
      <c r="E797" t="str">
        <f>IF(OR(Table1[[#This Row],[Type]]=0,Table1[[#This Row],[Type]]&gt;=40),"JA","SD")</f>
        <v>SD</v>
      </c>
      <c r="F797" t="s">
        <v>1766</v>
      </c>
      <c r="G797" s="661" t="s">
        <v>2824</v>
      </c>
      <c r="J797" s="653" t="str">
        <f>IFERROR(VLOOKUP(ROWS($J$2:J797),$A$2:$B$996,2,FALSE),"")</f>
        <v/>
      </c>
    </row>
    <row r="798" spans="1:10" ht="15" customHeight="1" x14ac:dyDescent="0.2">
      <c r="A798">
        <f>IF(ISNUMBER(SEARCH(Cover!$H$13,Table1[[#This Row],[School District]])),MAX($A$1:A797)+1,0)</f>
        <v>0</v>
      </c>
      <c r="B798" s="661" t="s">
        <v>1373</v>
      </c>
      <c r="C798" s="1599">
        <v>16019430026</v>
      </c>
      <c r="D798" s="664">
        <v>26</v>
      </c>
      <c r="E798" t="str">
        <f>IF(OR(Table1[[#This Row],[Type]]=0,Table1[[#This Row],[Type]]&gt;=40),"JA","SD")</f>
        <v>SD</v>
      </c>
      <c r="F798" t="s">
        <v>3228</v>
      </c>
      <c r="G798" s="661" t="s">
        <v>2825</v>
      </c>
      <c r="J798" s="653" t="str">
        <f>IFERROR(VLOOKUP(ROWS($J$2:J798),$A$2:$B$996,2,FALSE),"")</f>
        <v/>
      </c>
    </row>
    <row r="799" spans="1:10" x14ac:dyDescent="0.2">
      <c r="A799">
        <f>IF(ISNUMBER(SEARCH(Cover!$H$13,Table1[[#This Row],[School District]])),MAX($A$1:A798)+1,0)</f>
        <v>0</v>
      </c>
      <c r="B799" t="s">
        <v>1993</v>
      </c>
      <c r="C799" s="1599">
        <v>51084010061</v>
      </c>
      <c r="D799" s="664">
        <v>61</v>
      </c>
      <c r="E799" t="str">
        <f>IF(OR(Table1[[#This Row],[Type]]=0,Table1[[#This Row],[Type]]&gt;=40),"JA","SD")</f>
        <v>JA</v>
      </c>
      <c r="F799" t="s">
        <v>1788</v>
      </c>
      <c r="G799" s="661" t="s">
        <v>2826</v>
      </c>
      <c r="J799" s="653" t="str">
        <f>IFERROR(VLOOKUP(ROWS($J$2:J799),$A$2:$B$996,2,FALSE),"")</f>
        <v/>
      </c>
    </row>
    <row r="800" spans="1:10" x14ac:dyDescent="0.2">
      <c r="A800">
        <f>IF(ISNUMBER(SEARCH(Cover!$H$13,Table1[[#This Row],[School District]])),MAX($A$1:A799)+1,0)</f>
        <v>0</v>
      </c>
      <c r="B800" s="661" t="s">
        <v>1994</v>
      </c>
      <c r="C800" s="1599">
        <v>39055009026</v>
      </c>
      <c r="D800" s="664">
        <v>26</v>
      </c>
      <c r="E800" t="str">
        <f>IF(OR(Table1[[#This Row],[Type]]=0,Table1[[#This Row],[Type]]&gt;=40),"JA","SD")</f>
        <v>SD</v>
      </c>
      <c r="F800" t="s">
        <v>3229</v>
      </c>
      <c r="G800" s="661" t="s">
        <v>2827</v>
      </c>
      <c r="J800" s="653" t="str">
        <f>IFERROR(VLOOKUP(ROWS($J$2:J800),$A$2:$B$996,2,FALSE),"")</f>
        <v/>
      </c>
    </row>
    <row r="801" spans="1:10" x14ac:dyDescent="0.2">
      <c r="A801">
        <f>IF(ISNUMBER(SEARCH(Cover!$H$13,Table1[[#This Row],[School District]])),MAX($A$1:A800)+1,0)</f>
        <v>0</v>
      </c>
      <c r="B801" s="661" t="s">
        <v>1995</v>
      </c>
      <c r="C801" s="1599" t="s">
        <v>923</v>
      </c>
      <c r="D801" s="664">
        <v>4</v>
      </c>
      <c r="E801" t="str">
        <f>IF(OR(Table1[[#This Row],[Type]]=0,Table1[[#This Row],[Type]]&gt;=40),"JA","SD")</f>
        <v>SD</v>
      </c>
      <c r="F801" t="s">
        <v>1809</v>
      </c>
      <c r="G801" s="661" t="s">
        <v>2828</v>
      </c>
      <c r="J801" s="653" t="str">
        <f>IFERROR(VLOOKUP(ROWS($J$2:J801),$A$2:$B$996,2,FALSE),"")</f>
        <v/>
      </c>
    </row>
    <row r="802" spans="1:10" x14ac:dyDescent="0.2">
      <c r="A802">
        <f>IF(ISNUMBER(SEARCH(Cover!$H$13,Table1[[#This Row],[School District]])),MAX($A$1:A801)+1,0)</f>
        <v>0</v>
      </c>
      <c r="B802" s="661" t="s">
        <v>1361</v>
      </c>
      <c r="C802" s="1599">
        <v>17053438004</v>
      </c>
      <c r="D802" s="664">
        <v>4</v>
      </c>
      <c r="E802" t="str">
        <f>IF(OR(Table1[[#This Row],[Type]]=0,Table1[[#This Row],[Type]]&gt;=40),"JA","SD")</f>
        <v>SD</v>
      </c>
      <c r="F802" t="s">
        <v>1866</v>
      </c>
      <c r="G802" s="661" t="s">
        <v>2829</v>
      </c>
      <c r="J802" s="653" t="str">
        <f>IFERROR(VLOOKUP(ROWS($J$2:J802),$A$2:$B$996,2,FALSE),"")</f>
        <v/>
      </c>
    </row>
    <row r="803" spans="1:10" x14ac:dyDescent="0.2">
      <c r="A803">
        <f>IF(ISNUMBER(SEARCH(Cover!$H$13,Table1[[#This Row],[School District]])),MAX($A$1:A802)+1,0)</f>
        <v>0</v>
      </c>
      <c r="B803" s="661" t="s">
        <v>1996</v>
      </c>
      <c r="C803" s="1599">
        <v>8043211026</v>
      </c>
      <c r="D803" s="664">
        <v>26</v>
      </c>
      <c r="E803" t="str">
        <f>IF(OR(Table1[[#This Row],[Type]]=0,Table1[[#This Row],[Type]]&gt;=40),"JA","SD")</f>
        <v>SD</v>
      </c>
      <c r="F803" t="s">
        <v>1885</v>
      </c>
      <c r="G803" s="661" t="s">
        <v>2830</v>
      </c>
      <c r="J803" s="653" t="str">
        <f>IFERROR(VLOOKUP(ROWS($J$2:J803),$A$2:$B$996,2,FALSE),"")</f>
        <v/>
      </c>
    </row>
    <row r="804" spans="1:10" x14ac:dyDescent="0.2">
      <c r="A804">
        <f>IF(ISNUMBER(SEARCH(Cover!$H$13,Table1[[#This Row],[School District]])),MAX($A$1:A803)+1,0)</f>
        <v>0</v>
      </c>
      <c r="B804" s="661" t="s">
        <v>1571</v>
      </c>
      <c r="C804" s="1599">
        <v>5016054004</v>
      </c>
      <c r="D804" s="664">
        <v>4</v>
      </c>
      <c r="E804" t="str">
        <f>IF(OR(Table1[[#This Row],[Type]]=0,Table1[[#This Row],[Type]]&gt;=40),"JA","SD")</f>
        <v>SD</v>
      </c>
      <c r="F804" t="s">
        <v>1766</v>
      </c>
      <c r="G804" s="661" t="s">
        <v>2831</v>
      </c>
      <c r="J804" s="653" t="str">
        <f>IFERROR(VLOOKUP(ROWS($J$2:J804),$A$2:$B$996,2,FALSE),"")</f>
        <v/>
      </c>
    </row>
    <row r="805" spans="1:10" ht="15" customHeight="1" x14ac:dyDescent="0.2">
      <c r="A805">
        <f>IF(ISNUMBER(SEARCH(Cover!$H$13,Table1[[#This Row],[School District]])),MAX($A$1:A804)+1,0)</f>
        <v>0</v>
      </c>
      <c r="B805" s="661" t="s">
        <v>1551</v>
      </c>
      <c r="C805" s="1599">
        <v>6016081002</v>
      </c>
      <c r="D805" s="664">
        <v>2</v>
      </c>
      <c r="E805" t="str">
        <f>IF(OR(Table1[[#This Row],[Type]]=0,Table1[[#This Row],[Type]]&gt;=40),"JA","SD")</f>
        <v>SD</v>
      </c>
      <c r="F805" t="s">
        <v>1766</v>
      </c>
      <c r="G805" s="661" t="s">
        <v>2832</v>
      </c>
      <c r="J805" s="653" t="str">
        <f>IFERROR(VLOOKUP(ROWS($J$2:J805),$A$2:$B$996,2,FALSE),"")</f>
        <v/>
      </c>
    </row>
    <row r="806" spans="1:10" x14ac:dyDescent="0.2">
      <c r="A806">
        <f>IF(ISNUMBER(SEARCH(Cover!$H$13,Table1[[#This Row],[School District]])),MAX($A$1:A805)+1,0)</f>
        <v>0</v>
      </c>
      <c r="B806" t="s">
        <v>1997</v>
      </c>
      <c r="C806" s="1599">
        <v>19022803060</v>
      </c>
      <c r="D806" s="664">
        <v>60</v>
      </c>
      <c r="E806" t="str">
        <f>IF(OR(Table1[[#This Row],[Type]]=0,Table1[[#This Row],[Type]]&gt;=40),"JA","SD")</f>
        <v>JA</v>
      </c>
      <c r="F806" t="s">
        <v>3143</v>
      </c>
      <c r="G806" s="661" t="s">
        <v>2833</v>
      </c>
      <c r="J806" s="653" t="str">
        <f>IFERROR(VLOOKUP(ROWS($J$2:J806),$A$2:$B$996,2,FALSE),"")</f>
        <v/>
      </c>
    </row>
    <row r="807" spans="1:10" x14ac:dyDescent="0.2">
      <c r="A807">
        <f>IF(ISNUMBER(SEARCH(Cover!$H$13,Table1[[#This Row],[School District]])),MAX($A$1:A806)+1,0)</f>
        <v>0</v>
      </c>
      <c r="B807" s="661" t="s">
        <v>1998</v>
      </c>
      <c r="C807" s="1599">
        <v>26085005026</v>
      </c>
      <c r="D807" s="664">
        <v>26</v>
      </c>
      <c r="E807" t="str">
        <f>IF(OR(Table1[[#This Row],[Type]]=0,Table1[[#This Row],[Type]]&gt;=40),"JA","SD")</f>
        <v>SD</v>
      </c>
      <c r="F807" t="s">
        <v>1999</v>
      </c>
      <c r="G807" s="661" t="s">
        <v>2834</v>
      </c>
      <c r="J807" s="653" t="str">
        <f>IFERROR(VLOOKUP(ROWS($J$2:J807),$A$2:$B$996,2,FALSE),"")</f>
        <v/>
      </c>
    </row>
    <row r="808" spans="1:10" x14ac:dyDescent="0.2">
      <c r="A808">
        <f>IF(ISNUMBER(SEARCH(Cover!$H$13,Table1[[#This Row],[School District]])),MAX($A$1:A807)+1,0)</f>
        <v>0</v>
      </c>
      <c r="B808" s="661" t="s">
        <v>1617</v>
      </c>
      <c r="C808" s="1599">
        <v>1086002026</v>
      </c>
      <c r="D808" s="664">
        <v>26</v>
      </c>
      <c r="E808" t="str">
        <f>IF(OR(Table1[[#This Row],[Type]]=0,Table1[[#This Row],[Type]]&gt;=40),"JA","SD")</f>
        <v>SD</v>
      </c>
      <c r="F808" t="s">
        <v>3230</v>
      </c>
      <c r="G808" s="661" t="s">
        <v>2835</v>
      </c>
      <c r="J808" s="653" t="str">
        <f>IFERROR(VLOOKUP(ROWS($J$2:J808),$A$2:$B$996,2,FALSE),"")</f>
        <v/>
      </c>
    </row>
    <row r="809" spans="1:10" x14ac:dyDescent="0.2">
      <c r="A809">
        <f>IF(ISNUMBER(SEARCH(Cover!$H$13,Table1[[#This Row],[School District]])),MAX($A$1:A808)+1,0)</f>
        <v>0</v>
      </c>
      <c r="B809" s="661" t="s">
        <v>2000</v>
      </c>
      <c r="C809" s="1599">
        <v>19022045002</v>
      </c>
      <c r="D809" s="664">
        <v>2</v>
      </c>
      <c r="E809" t="str">
        <f>IF(OR(Table1[[#This Row],[Type]]=0,Table1[[#This Row],[Type]]&gt;=40),"JA","SD")</f>
        <v>SD</v>
      </c>
      <c r="F809" t="s">
        <v>3143</v>
      </c>
      <c r="G809" s="661" t="s">
        <v>2836</v>
      </c>
      <c r="J809" s="653" t="str">
        <f>IFERROR(VLOOKUP(ROWS($J$2:J809),$A$2:$B$996,2,FALSE),"")</f>
        <v/>
      </c>
    </row>
    <row r="810" spans="1:10" x14ac:dyDescent="0.2">
      <c r="A810">
        <f>IF(ISNUMBER(SEARCH(Cover!$H$13,Table1[[#This Row],[School District]])),MAX($A$1:A809)+1,0)</f>
        <v>0</v>
      </c>
      <c r="B810" s="661" t="s">
        <v>1220</v>
      </c>
      <c r="C810" s="1599">
        <v>31045046022</v>
      </c>
      <c r="D810" s="664">
        <v>22</v>
      </c>
      <c r="E810" t="str">
        <f>IF(OR(Table1[[#This Row],[Type]]=0,Table1[[#This Row],[Type]]&gt;=40),"JA","SD")</f>
        <v>SD</v>
      </c>
      <c r="F810" t="s">
        <v>3231</v>
      </c>
      <c r="G810" s="661" t="s">
        <v>2837</v>
      </c>
      <c r="J810" s="653" t="str">
        <f>IFERROR(VLOOKUP(ROWS($J$2:J810),$A$2:$B$996,2,FALSE),"")</f>
        <v/>
      </c>
    </row>
    <row r="811" spans="1:10" x14ac:dyDescent="0.2">
      <c r="A811">
        <f>IF(ISNUMBER(SEARCH(Cover!$H$13,Table1[[#This Row],[School District]])),MAX($A$1:A810)+1,0)</f>
        <v>0</v>
      </c>
      <c r="B811" s="661" t="s">
        <v>1393</v>
      </c>
      <c r="C811" s="1599">
        <v>13058010004</v>
      </c>
      <c r="D811" s="664">
        <v>4</v>
      </c>
      <c r="E811" t="str">
        <f>IF(OR(Table1[[#This Row],[Type]]=0,Table1[[#This Row],[Type]]&gt;=40),"JA","SD")</f>
        <v>SD</v>
      </c>
      <c r="F811" t="s">
        <v>1842</v>
      </c>
      <c r="G811" s="661" t="s">
        <v>2838</v>
      </c>
      <c r="J811" s="653" t="str">
        <f>IFERROR(VLOOKUP(ROWS($J$2:J811),$A$2:$B$996,2,FALSE),"")</f>
        <v/>
      </c>
    </row>
    <row r="812" spans="1:10" x14ac:dyDescent="0.2">
      <c r="A812">
        <f>IF(ISNUMBER(SEARCH(Cover!$H$13,Table1[[#This Row],[School District]])),MAX($A$1:A811)+1,0)</f>
        <v>0</v>
      </c>
      <c r="B812" s="661" t="s">
        <v>1130</v>
      </c>
      <c r="C812" s="1599">
        <v>35050170004</v>
      </c>
      <c r="D812" s="664">
        <v>4</v>
      </c>
      <c r="E812" t="str">
        <f>IF(OR(Table1[[#This Row],[Type]]=0,Table1[[#This Row],[Type]]&gt;=40),"JA","SD")</f>
        <v>SD</v>
      </c>
      <c r="F812" t="s">
        <v>3165</v>
      </c>
      <c r="G812" s="661" t="s">
        <v>2839</v>
      </c>
      <c r="J812" s="653" t="str">
        <f>IFERROR(VLOOKUP(ROWS($J$2:J812),$A$2:$B$996,2,FALSE),"")</f>
        <v/>
      </c>
    </row>
    <row r="813" spans="1:10" x14ac:dyDescent="0.2">
      <c r="A813">
        <f>IF(ISNUMBER(SEARCH(Cover!$H$13,Table1[[#This Row],[School District]])),MAX($A$1:A812)+1,0)</f>
        <v>0</v>
      </c>
      <c r="B813" s="661" t="s">
        <v>1131</v>
      </c>
      <c r="C813" s="1599">
        <v>35050160017</v>
      </c>
      <c r="D813" s="664">
        <v>17</v>
      </c>
      <c r="E813" t="str">
        <f>IF(OR(Table1[[#This Row],[Type]]=0,Table1[[#This Row],[Type]]&gt;=40),"JA","SD")</f>
        <v>SD</v>
      </c>
      <c r="F813" t="s">
        <v>3201</v>
      </c>
      <c r="G813" s="661" t="s">
        <v>2840</v>
      </c>
      <c r="J813" s="653" t="str">
        <f>IFERROR(VLOOKUP(ROWS($J$2:J813),$A$2:$B$996,2,FALSE),"")</f>
        <v/>
      </c>
    </row>
    <row r="814" spans="1:10" x14ac:dyDescent="0.2">
      <c r="A814">
        <f>IF(ISNUMBER(SEARCH(Cover!$H$13,Table1[[#This Row],[School District]])),MAX($A$1:A813)+1,0)</f>
        <v>0</v>
      </c>
      <c r="B814" s="661" t="s">
        <v>1146</v>
      </c>
      <c r="C814" s="1599">
        <v>35050002026</v>
      </c>
      <c r="D814" s="664">
        <v>26</v>
      </c>
      <c r="E814" t="str">
        <f>IF(OR(Table1[[#This Row],[Type]]=0,Table1[[#This Row],[Type]]&gt;=40),"JA","SD")</f>
        <v>SD</v>
      </c>
      <c r="F814" t="s">
        <v>3165</v>
      </c>
      <c r="G814" s="661" t="s">
        <v>2841</v>
      </c>
      <c r="J814" s="653" t="str">
        <f>IFERROR(VLOOKUP(ROWS($J$2:J814),$A$2:$B$996,2,FALSE),"")</f>
        <v/>
      </c>
    </row>
    <row r="815" spans="1:10" x14ac:dyDescent="0.2">
      <c r="A815">
        <f>IF(ISNUMBER(SEARCH(Cover!$H$13,Table1[[#This Row],[School District]])),MAX($A$1:A814)+1,0)</f>
        <v>0</v>
      </c>
      <c r="B815" s="661" t="s">
        <v>1292</v>
      </c>
      <c r="C815" s="1599">
        <v>21028196026</v>
      </c>
      <c r="D815" s="664">
        <v>26</v>
      </c>
      <c r="E815" t="str">
        <f>IF(OR(Table1[[#This Row],[Type]]=0,Table1[[#This Row],[Type]]&gt;=40),"JA","SD")</f>
        <v>SD</v>
      </c>
      <c r="F815" t="s">
        <v>1767</v>
      </c>
      <c r="G815" s="661" t="s">
        <v>2842</v>
      </c>
      <c r="J815" s="653" t="str">
        <f>IFERROR(VLOOKUP(ROWS($J$2:J815),$A$2:$B$996,2,FALSE),"")</f>
        <v/>
      </c>
    </row>
    <row r="816" spans="1:10" x14ac:dyDescent="0.2">
      <c r="A816">
        <f>IF(ISNUMBER(SEARCH(Cover!$H$13,Table1[[#This Row],[School District]])),MAX($A$1:A815)+1,0)</f>
        <v>0</v>
      </c>
      <c r="B816" s="661" t="s">
        <v>1221</v>
      </c>
      <c r="C816" s="1599">
        <v>30091084026</v>
      </c>
      <c r="D816" s="664">
        <v>26</v>
      </c>
      <c r="E816" t="str">
        <f>IF(OR(Table1[[#This Row],[Type]]=0,Table1[[#This Row],[Type]]&gt;=40),"JA","SD")</f>
        <v>SD</v>
      </c>
      <c r="F816" t="s">
        <v>3232</v>
      </c>
      <c r="G816" s="661" t="s">
        <v>2843</v>
      </c>
      <c r="J816" s="653" t="str">
        <f>IFERROR(VLOOKUP(ROWS($J$2:J816),$A$2:$B$996,2,FALSE),"")</f>
        <v/>
      </c>
    </row>
    <row r="817" spans="1:10" x14ac:dyDescent="0.2">
      <c r="A817">
        <f>IF(ISNUMBER(SEARCH(Cover!$H$13,Table1[[#This Row],[School District]])),MAX($A$1:A816)+1,0)</f>
        <v>0</v>
      </c>
      <c r="B817" s="661" t="s">
        <v>1423</v>
      </c>
      <c r="C817" s="1599">
        <v>11087004026</v>
      </c>
      <c r="D817" s="664">
        <v>26</v>
      </c>
      <c r="E817" t="str">
        <f>IF(OR(Table1[[#This Row],[Type]]=0,Table1[[#This Row],[Type]]&gt;=40),"JA","SD")</f>
        <v>SD</v>
      </c>
      <c r="F817" t="s">
        <v>1841</v>
      </c>
      <c r="G817" s="661" t="s">
        <v>2844</v>
      </c>
      <c r="J817" s="653" t="str">
        <f>IFERROR(VLOOKUP(ROWS($J$2:J817),$A$2:$B$996,2,FALSE),"")</f>
        <v/>
      </c>
    </row>
    <row r="818" spans="1:10" x14ac:dyDescent="0.2">
      <c r="A818">
        <f>IF(ISNUMBER(SEARCH(Cover!$H$13,Table1[[#This Row],[School District]])),MAX($A$1:A817)+1,0)</f>
        <v>0</v>
      </c>
      <c r="B818" s="661" t="s">
        <v>1026</v>
      </c>
      <c r="C818" s="1599">
        <v>49081200026</v>
      </c>
      <c r="D818" s="664">
        <v>26</v>
      </c>
      <c r="E818" t="str">
        <f>IF(OR(Table1[[#This Row],[Type]]=0,Table1[[#This Row],[Type]]&gt;=40),"JA","SD")</f>
        <v>SD</v>
      </c>
      <c r="F818" t="s">
        <v>3283</v>
      </c>
      <c r="G818" s="661" t="s">
        <v>2845</v>
      </c>
      <c r="J818" s="653" t="str">
        <f>IFERROR(VLOOKUP(ROWS($J$2:J818),$A$2:$B$996,2,FALSE),"")</f>
        <v/>
      </c>
    </row>
    <row r="819" spans="1:10" x14ac:dyDescent="0.2">
      <c r="A819">
        <f>IF(ISNUMBER(SEARCH(Cover!$H$13,Table1[[#This Row],[School District]])),MAX($A$1:A818)+1,0)</f>
        <v>0</v>
      </c>
      <c r="B819" s="661" t="s">
        <v>1430</v>
      </c>
      <c r="C819" s="1599">
        <v>11023001026</v>
      </c>
      <c r="D819" s="664">
        <v>26</v>
      </c>
      <c r="E819" t="str">
        <f>IF(OR(Table1[[#This Row],[Type]]=0,Table1[[#This Row],[Type]]&gt;=40),"JA","SD")</f>
        <v>SD</v>
      </c>
      <c r="F819" t="s">
        <v>1888</v>
      </c>
      <c r="G819" s="661" t="s">
        <v>2846</v>
      </c>
      <c r="J819" s="653" t="str">
        <f>IFERROR(VLOOKUP(ROWS($J$2:J819),$A$2:$B$996,2,FALSE),"")</f>
        <v/>
      </c>
    </row>
    <row r="820" spans="1:10" x14ac:dyDescent="0.2">
      <c r="A820">
        <f>IF(ISNUMBER(SEARCH(Cover!$H$13,Table1[[#This Row],[School District]])),MAX($A$1:A819)+1,0)</f>
        <v>0</v>
      </c>
      <c r="B820" s="661" t="s">
        <v>1018</v>
      </c>
      <c r="C820" s="1599">
        <v>50082085002</v>
      </c>
      <c r="D820" s="664">
        <v>2</v>
      </c>
      <c r="E820" t="str">
        <f>IF(OR(Table1[[#This Row],[Type]]=0,Table1[[#This Row],[Type]]&gt;=40),"JA","SD")</f>
        <v>SD</v>
      </c>
      <c r="F820" t="s">
        <v>3134</v>
      </c>
      <c r="G820" s="661" t="s">
        <v>2847</v>
      </c>
      <c r="J820" s="653" t="str">
        <f>IFERROR(VLOOKUP(ROWS($J$2:J820),$A$2:$B$996,2,FALSE),"")</f>
        <v/>
      </c>
    </row>
    <row r="821" spans="1:10" x14ac:dyDescent="0.2">
      <c r="A821">
        <f>IF(ISNUMBER(SEARCH(Cover!$H$13,Table1[[#This Row],[School District]])),MAX($A$1:A820)+1,0)</f>
        <v>0</v>
      </c>
      <c r="B821" s="661" t="s">
        <v>1594</v>
      </c>
      <c r="C821" s="1599">
        <v>4101134004</v>
      </c>
      <c r="D821" s="664">
        <v>4</v>
      </c>
      <c r="E821" t="str">
        <f>IF(OR(Table1[[#This Row],[Type]]=0,Table1[[#This Row],[Type]]&gt;=40),"JA","SD")</f>
        <v>SD</v>
      </c>
      <c r="F821" t="s">
        <v>1828</v>
      </c>
      <c r="G821" s="661" t="s">
        <v>2848</v>
      </c>
      <c r="J821" s="653" t="str">
        <f>IFERROR(VLOOKUP(ROWS($J$2:J821),$A$2:$B$996,2,FALSE),"")</f>
        <v/>
      </c>
    </row>
    <row r="822" spans="1:10" x14ac:dyDescent="0.2">
      <c r="A822">
        <f>IF(ISNUMBER(SEARCH(Cover!$H$13,Table1[[#This Row],[School District]])),MAX($A$1:A821)+1,0)</f>
        <v>0</v>
      </c>
      <c r="B822" s="661" t="s">
        <v>1007</v>
      </c>
      <c r="C822" s="1599">
        <v>50082181002</v>
      </c>
      <c r="D822" s="664">
        <v>2</v>
      </c>
      <c r="E822" t="str">
        <f>IF(OR(Table1[[#This Row],[Type]]=0,Table1[[#This Row],[Type]]&gt;=40),"JA","SD")</f>
        <v>SD</v>
      </c>
      <c r="F822" t="s">
        <v>3134</v>
      </c>
      <c r="G822" s="661" t="s">
        <v>2849</v>
      </c>
      <c r="J822" s="653" t="str">
        <f>IFERROR(VLOOKUP(ROWS($J$2:J822),$A$2:$B$996,2,FALSE),"")</f>
        <v/>
      </c>
    </row>
    <row r="823" spans="1:10" x14ac:dyDescent="0.2">
      <c r="A823">
        <f>IF(ISNUMBER(SEARCH(Cover!$H$13,Table1[[#This Row],[School District]])),MAX($A$1:A822)+1,0)</f>
        <v>0</v>
      </c>
      <c r="B823" s="661" t="s">
        <v>1032</v>
      </c>
      <c r="C823" s="1599">
        <v>49081034002</v>
      </c>
      <c r="D823" s="664">
        <v>2</v>
      </c>
      <c r="E823" t="str">
        <f>IF(OR(Table1[[#This Row],[Type]]=0,Table1[[#This Row],[Type]]&gt;=40),"JA","SD")</f>
        <v>SD</v>
      </c>
      <c r="F823" t="s">
        <v>1800</v>
      </c>
      <c r="G823" s="661" t="s">
        <v>2850</v>
      </c>
      <c r="J823" s="653" t="str">
        <f>IFERROR(VLOOKUP(ROWS($J$2:J823),$A$2:$B$996,2,FALSE),"")</f>
        <v/>
      </c>
    </row>
    <row r="824" spans="1:10" x14ac:dyDescent="0.2">
      <c r="A824">
        <f>IF(ISNUMBER(SEARCH(Cover!$H$13,Table1[[#This Row],[School District]])),MAX($A$1:A823)+1,0)</f>
        <v>0</v>
      </c>
      <c r="B824" s="661" t="s">
        <v>1566</v>
      </c>
      <c r="C824" s="1599">
        <v>5016068002</v>
      </c>
      <c r="D824" s="664">
        <v>2</v>
      </c>
      <c r="E824" t="str">
        <f>IF(OR(Table1[[#This Row],[Type]]=0,Table1[[#This Row],[Type]]&gt;=40),"JA","SD")</f>
        <v>SD</v>
      </c>
      <c r="F824" t="s">
        <v>1766</v>
      </c>
      <c r="G824" s="661" t="s">
        <v>2851</v>
      </c>
      <c r="J824" s="653" t="str">
        <f>IFERROR(VLOOKUP(ROWS($J$2:J824),$A$2:$B$996,2,FALSE),"")</f>
        <v/>
      </c>
    </row>
    <row r="825" spans="1:10" x14ac:dyDescent="0.2">
      <c r="A825">
        <f>IF(ISNUMBER(SEARCH(Cover!$H$13,Table1[[#This Row],[School District]])),MAX($A$1:A824)+1,0)</f>
        <v>0</v>
      </c>
      <c r="B825" s="661" t="s">
        <v>1565</v>
      </c>
      <c r="C825" s="1599">
        <v>5016069002</v>
      </c>
      <c r="D825" s="664">
        <v>2</v>
      </c>
      <c r="E825" t="str">
        <f>IF(OR(Table1[[#This Row],[Type]]=0,Table1[[#This Row],[Type]]&gt;=40),"JA","SD")</f>
        <v>SD</v>
      </c>
      <c r="F825" t="s">
        <v>1766</v>
      </c>
      <c r="G825" s="661" t="s">
        <v>2852</v>
      </c>
      <c r="J825" s="653" t="str">
        <f>IFERROR(VLOOKUP(ROWS($J$2:J825),$A$2:$B$996,2,FALSE),"")</f>
        <v/>
      </c>
    </row>
    <row r="826" spans="1:10" x14ac:dyDescent="0.2">
      <c r="A826">
        <f>IF(ISNUMBER(SEARCH(Cover!$H$13,Table1[[#This Row],[School District]])),MAX($A$1:A825)+1,0)</f>
        <v>0</v>
      </c>
      <c r="B826" s="661" t="s">
        <v>1560</v>
      </c>
      <c r="C826" s="1599">
        <v>5016073502</v>
      </c>
      <c r="D826" s="664">
        <v>2</v>
      </c>
      <c r="E826" t="str">
        <f>IF(OR(Table1[[#This Row],[Type]]=0,Table1[[#This Row],[Type]]&gt;=40),"JA","SD")</f>
        <v>SD</v>
      </c>
      <c r="F826" t="s">
        <v>1766</v>
      </c>
      <c r="G826" s="661" t="s">
        <v>2853</v>
      </c>
      <c r="J826" s="653" t="str">
        <f>IFERROR(VLOOKUP(ROWS($J$2:J826),$A$2:$B$996,2,FALSE),"")</f>
        <v/>
      </c>
    </row>
    <row r="827" spans="1:10" x14ac:dyDescent="0.2">
      <c r="A827">
        <f>IF(ISNUMBER(SEARCH(Cover!$H$13,Table1[[#This Row],[School District]])),MAX($A$1:A826)+1,0)</f>
        <v>0</v>
      </c>
      <c r="B827" s="661" t="s">
        <v>1010</v>
      </c>
      <c r="C827" s="1599">
        <v>50082130004</v>
      </c>
      <c r="D827" s="664">
        <v>4</v>
      </c>
      <c r="E827" t="str">
        <f>IF(OR(Table1[[#This Row],[Type]]=0,Table1[[#This Row],[Type]]&gt;=40),"JA","SD")</f>
        <v>SD</v>
      </c>
      <c r="F827" t="s">
        <v>3134</v>
      </c>
      <c r="G827" s="661" t="s">
        <v>2854</v>
      </c>
      <c r="J827" s="653" t="str">
        <f>IFERROR(VLOOKUP(ROWS($J$2:J827),$A$2:$B$996,2,FALSE),"")</f>
        <v/>
      </c>
    </row>
    <row r="828" spans="1:10" x14ac:dyDescent="0.2">
      <c r="A828">
        <f>IF(ISNUMBER(SEARCH(Cover!$H$13,Table1[[#This Row],[School District]])),MAX($A$1:A827)+1,0)</f>
        <v>0</v>
      </c>
      <c r="B828" s="661" t="s">
        <v>1372</v>
      </c>
      <c r="C828" s="1599">
        <v>16019432026</v>
      </c>
      <c r="D828" s="664">
        <v>26</v>
      </c>
      <c r="E828" t="str">
        <f>IF(OR(Table1[[#This Row],[Type]]=0,Table1[[#This Row],[Type]]&gt;=40),"JA","SD")</f>
        <v>SD</v>
      </c>
      <c r="F828" t="s">
        <v>1932</v>
      </c>
      <c r="G828" s="661" t="s">
        <v>2855</v>
      </c>
      <c r="J828" s="653" t="str">
        <f>IFERROR(VLOOKUP(ROWS($J$2:J828),$A$2:$B$996,2,FALSE),"")</f>
        <v/>
      </c>
    </row>
    <row r="829" spans="1:10" ht="15" customHeight="1" x14ac:dyDescent="0.2">
      <c r="A829">
        <f>IF(ISNUMBER(SEARCH(Cover!$H$13,Table1[[#This Row],[School District]])),MAX($A$1:A828)+1,0)</f>
        <v>0</v>
      </c>
      <c r="B829" s="661" t="s">
        <v>2001</v>
      </c>
      <c r="C829" s="1599">
        <v>13058401026</v>
      </c>
      <c r="D829" s="664">
        <v>26</v>
      </c>
      <c r="E829" t="str">
        <f>IF(OR(Table1[[#This Row],[Type]]=0,Table1[[#This Row],[Type]]&gt;=40),"JA","SD")</f>
        <v>SD</v>
      </c>
      <c r="F829" t="s">
        <v>1842</v>
      </c>
      <c r="G829" s="661" t="s">
        <v>2856</v>
      </c>
      <c r="J829" s="653" t="str">
        <f>IFERROR(VLOOKUP(ROWS($J$2:J829),$A$2:$B$996,2,FALSE),"")</f>
        <v/>
      </c>
    </row>
    <row r="830" spans="1:10" x14ac:dyDescent="0.2">
      <c r="A830">
        <f>IF(ISNUMBER(SEARCH(Cover!$H$13,Table1[[#This Row],[School District]])),MAX($A$1:A829)+1,0)</f>
        <v>0</v>
      </c>
      <c r="B830" t="s">
        <v>1736</v>
      </c>
      <c r="C830" s="1599">
        <v>12017801060</v>
      </c>
      <c r="D830" s="664">
        <v>60</v>
      </c>
      <c r="E830" t="str">
        <f>IF(OR(Table1[[#This Row],[Type]]=0,Table1[[#This Row],[Type]]&gt;=40),"JA","SD")</f>
        <v>JA</v>
      </c>
      <c r="F830" t="s">
        <v>1926</v>
      </c>
      <c r="G830" s="661" t="s">
        <v>2857</v>
      </c>
      <c r="J830" s="653" t="str">
        <f>IFERROR(VLOOKUP(ROWS($J$2:J830),$A$2:$B$996,2,FALSE),"")</f>
        <v/>
      </c>
    </row>
    <row r="831" spans="1:10" x14ac:dyDescent="0.2">
      <c r="A831">
        <f>IF(ISNUMBER(SEARCH(Cover!$H$13,Table1[[#This Row],[School District]])),MAX($A$1:A830)+1,0)</f>
        <v>0</v>
      </c>
      <c r="B831" s="661" t="s">
        <v>1611</v>
      </c>
      <c r="C831" s="1599">
        <v>3011014024</v>
      </c>
      <c r="D831" s="664">
        <v>24</v>
      </c>
      <c r="E831" t="str">
        <f>IF(OR(Table1[[#This Row],[Type]]=0,Table1[[#This Row],[Type]]&gt;=40),"JA","SD")</f>
        <v>SD</v>
      </c>
      <c r="F831" t="s">
        <v>1889</v>
      </c>
      <c r="G831" s="661" t="s">
        <v>2858</v>
      </c>
      <c r="J831" s="653" t="str">
        <f>IFERROR(VLOOKUP(ROWS($J$2:J831),$A$2:$B$996,2,FALSE),"")</f>
        <v/>
      </c>
    </row>
    <row r="832" spans="1:10" x14ac:dyDescent="0.2">
      <c r="A832">
        <f>IF(ISNUMBER(SEARCH(Cover!$H$13,Table1[[#This Row],[School District]])),MAX($A$1:A831)+1,0)</f>
        <v>0</v>
      </c>
      <c r="B832" s="661" t="s">
        <v>1495</v>
      </c>
      <c r="C832" s="1599">
        <v>7016150002</v>
      </c>
      <c r="D832" s="664">
        <v>2</v>
      </c>
      <c r="E832" t="str">
        <f>IF(OR(Table1[[#This Row],[Type]]=0,Table1[[#This Row],[Type]]&gt;=40),"JA","SD")</f>
        <v>SD</v>
      </c>
      <c r="F832" t="s">
        <v>1766</v>
      </c>
      <c r="G832" s="661" t="s">
        <v>2859</v>
      </c>
      <c r="J832" s="653" t="str">
        <f>IFERROR(VLOOKUP(ROWS($J$2:J832),$A$2:$B$996,2,FALSE),"")</f>
        <v/>
      </c>
    </row>
    <row r="833" spans="1:10" ht="15" customHeight="1" x14ac:dyDescent="0.2">
      <c r="A833">
        <f>IF(ISNUMBER(SEARCH(Cover!$H$13,Table1[[#This Row],[School District]])),MAX($A$1:A832)+1,0)</f>
        <v>0</v>
      </c>
      <c r="B833" s="661" t="s">
        <v>1494</v>
      </c>
      <c r="C833" s="1599">
        <v>7016151002</v>
      </c>
      <c r="D833" s="664">
        <v>2</v>
      </c>
      <c r="E833" t="str">
        <f>IF(OR(Table1[[#This Row],[Type]]=0,Table1[[#This Row],[Type]]&gt;=40),"JA","SD")</f>
        <v>SD</v>
      </c>
      <c r="F833" t="s">
        <v>1766</v>
      </c>
      <c r="G833" s="661" t="s">
        <v>2860</v>
      </c>
      <c r="J833" s="653" t="str">
        <f>IFERROR(VLOOKUP(ROWS($J$2:J833),$A$2:$B$996,2,FALSE),"")</f>
        <v/>
      </c>
    </row>
    <row r="834" spans="1:10" x14ac:dyDescent="0.2">
      <c r="A834">
        <f>IF(ISNUMBER(SEARCH(Cover!$H$13,Table1[[#This Row],[School District]])),MAX($A$1:A833)+1,0)</f>
        <v>0</v>
      </c>
      <c r="B834" t="s">
        <v>2002</v>
      </c>
      <c r="C834" s="1599">
        <v>40056801060</v>
      </c>
      <c r="D834" s="664">
        <v>60</v>
      </c>
      <c r="E834" t="str">
        <f>IF(OR(Table1[[#This Row],[Type]]=0,Table1[[#This Row],[Type]]&gt;=40),"JA","SD")</f>
        <v>JA</v>
      </c>
      <c r="F834" t="s">
        <v>1817</v>
      </c>
      <c r="G834" s="661" t="s">
        <v>2861</v>
      </c>
      <c r="J834" s="653" t="str">
        <f>IFERROR(VLOOKUP(ROWS($J$2:J834),$A$2:$B$996,2,FALSE),"")</f>
        <v/>
      </c>
    </row>
    <row r="835" spans="1:10" x14ac:dyDescent="0.2">
      <c r="A835">
        <f>IF(ISNUMBER(SEARCH(Cover!$H$13,Table1[[#This Row],[School District]])),MAX($A$1:A834)+1,0)</f>
        <v>0</v>
      </c>
      <c r="B835" s="661" t="s">
        <v>979</v>
      </c>
      <c r="C835" s="1599">
        <v>53090137002</v>
      </c>
      <c r="D835" s="664">
        <v>2</v>
      </c>
      <c r="E835" t="str">
        <f>IF(OR(Table1[[#This Row],[Type]]=0,Table1[[#This Row],[Type]]&gt;=40),"JA","SD")</f>
        <v>SD</v>
      </c>
      <c r="F835" t="s">
        <v>1847</v>
      </c>
      <c r="G835" s="661" t="s">
        <v>2862</v>
      </c>
      <c r="J835" s="653" t="str">
        <f>IFERROR(VLOOKUP(ROWS($J$2:J835),$A$2:$B$996,2,FALSE),"")</f>
        <v/>
      </c>
    </row>
    <row r="836" spans="1:10" x14ac:dyDescent="0.2">
      <c r="A836">
        <f>IF(ISNUMBER(SEARCH(Cover!$H$13,Table1[[#This Row],[School District]])),MAX($A$1:A835)+1,0)</f>
        <v>0</v>
      </c>
      <c r="B836" t="s">
        <v>2003</v>
      </c>
      <c r="C836" s="1599" t="s">
        <v>1735</v>
      </c>
      <c r="D836" s="664">
        <v>61</v>
      </c>
      <c r="E836" t="str">
        <f>IF(OR(Table1[[#This Row],[Type]]=0,Table1[[#This Row],[Type]]&gt;=40),"JA","SD")</f>
        <v>JA</v>
      </c>
      <c r="F836" t="s">
        <v>1793</v>
      </c>
      <c r="G836" s="661" t="s">
        <v>2863</v>
      </c>
      <c r="J836" s="653" t="str">
        <f>IFERROR(VLOOKUP(ROWS($J$2:J836),$A$2:$B$996,2,FALSE),"")</f>
        <v/>
      </c>
    </row>
    <row r="837" spans="1:10" ht="15" customHeight="1" x14ac:dyDescent="0.2">
      <c r="A837">
        <f>IF(ISNUMBER(SEARCH(Cover!$H$13,Table1[[#This Row],[School District]])),MAX($A$1:A836)+1,0)</f>
        <v>0</v>
      </c>
      <c r="B837" s="661" t="s">
        <v>2004</v>
      </c>
      <c r="C837" s="1599">
        <v>24032074003</v>
      </c>
      <c r="D837" s="664">
        <v>3</v>
      </c>
      <c r="E837" t="str">
        <f>IF(OR(Table1[[#This Row],[Type]]=0,Table1[[#This Row],[Type]]&gt;=40),"JA","SD")</f>
        <v>SD</v>
      </c>
      <c r="F837" t="s">
        <v>1809</v>
      </c>
      <c r="G837" s="661" t="s">
        <v>2864</v>
      </c>
      <c r="J837" s="653" t="str">
        <f>IFERROR(VLOOKUP(ROWS($J$2:J837),$A$2:$B$996,2,FALSE),"")</f>
        <v/>
      </c>
    </row>
    <row r="838" spans="1:10" x14ac:dyDescent="0.2">
      <c r="A838">
        <f>IF(ISNUMBER(SEARCH(Cover!$H$13,Table1[[#This Row],[School District]])),MAX($A$1:A837)+1,0)</f>
        <v>0</v>
      </c>
      <c r="B838" s="661" t="s">
        <v>1260</v>
      </c>
      <c r="C838" s="1599">
        <v>26034337026</v>
      </c>
      <c r="D838" s="664">
        <v>26</v>
      </c>
      <c r="E838" t="str">
        <f>IF(OR(Table1[[#This Row],[Type]]=0,Table1[[#This Row],[Type]]&gt;=40),"JA","SD")</f>
        <v>SD</v>
      </c>
      <c r="F838" t="s">
        <v>3233</v>
      </c>
      <c r="G838" s="661" t="s">
        <v>2865</v>
      </c>
      <c r="J838" s="653" t="str">
        <f>IFERROR(VLOOKUP(ROWS($J$2:J838),$A$2:$B$996,2,FALSE),"")</f>
        <v/>
      </c>
    </row>
    <row r="839" spans="1:10" ht="15" customHeight="1" x14ac:dyDescent="0.2">
      <c r="A839">
        <f>IF(ISNUMBER(SEARCH(Cover!$H$13,Table1[[#This Row],[School District]])),MAX($A$1:A838)+1,0)</f>
        <v>0</v>
      </c>
      <c r="B839" t="s">
        <v>1648</v>
      </c>
      <c r="C839" s="1599">
        <v>7016142061</v>
      </c>
      <c r="D839" s="664">
        <v>61</v>
      </c>
      <c r="E839" t="str">
        <f>IF(OR(Table1[[#This Row],[Type]]=0,Table1[[#This Row],[Type]]&gt;=40),"JA","SD")</f>
        <v>JA</v>
      </c>
      <c r="F839" t="s">
        <v>1766</v>
      </c>
      <c r="G839" s="661" t="s">
        <v>2866</v>
      </c>
      <c r="J839" s="653" t="str">
        <f>IFERROR(VLOOKUP(ROWS($J$2:J839),$A$2:$B$996,2,FALSE),"")</f>
        <v/>
      </c>
    </row>
    <row r="840" spans="1:10" x14ac:dyDescent="0.2">
      <c r="A840">
        <f>IF(ISNUMBER(SEARCH(Cover!$H$13,Table1[[#This Row],[School District]])),MAX($A$1:A839)+1,0)</f>
        <v>0</v>
      </c>
      <c r="B840" s="661" t="s">
        <v>1106</v>
      </c>
      <c r="C840" s="1599">
        <v>40056009026</v>
      </c>
      <c r="D840" s="664">
        <v>26</v>
      </c>
      <c r="E840" t="str">
        <f>IF(OR(Table1[[#This Row],[Type]]=0,Table1[[#This Row],[Type]]&gt;=40),"JA","SD")</f>
        <v>SD</v>
      </c>
      <c r="F840" t="s">
        <v>3234</v>
      </c>
      <c r="G840" s="661" t="s">
        <v>2867</v>
      </c>
      <c r="J840" s="653" t="str">
        <f>IFERROR(VLOOKUP(ROWS($J$2:J840),$A$2:$B$996,2,FALSE),"")</f>
        <v/>
      </c>
    </row>
    <row r="841" spans="1:10" ht="15" customHeight="1" x14ac:dyDescent="0.2">
      <c r="A841">
        <f>IF(ISNUMBER(SEARCH(Cover!$H$13,Table1[[#This Row],[School District]])),MAX($A$1:A840)+1,0)</f>
        <v>0</v>
      </c>
      <c r="B841" t="s">
        <v>2005</v>
      </c>
      <c r="C841" s="1599">
        <v>50082746045</v>
      </c>
      <c r="D841" s="664">
        <v>45</v>
      </c>
      <c r="E841" t="str">
        <f>IF(OR(Table1[[#This Row],[Type]]=0,Table1[[#This Row],[Type]]&gt;=40),"JA","SD")</f>
        <v>JA</v>
      </c>
      <c r="F841" t="s">
        <v>3134</v>
      </c>
      <c r="G841" s="661" t="s">
        <v>2868</v>
      </c>
      <c r="J841" s="653" t="str">
        <f>IFERROR(VLOOKUP(ROWS($J$2:J841),$A$2:$B$996,2,FALSE),"")</f>
        <v/>
      </c>
    </row>
    <row r="842" spans="1:10" ht="15" customHeight="1" x14ac:dyDescent="0.2">
      <c r="A842">
        <f>IF(ISNUMBER(SEARCH(Cover!$H$13,Table1[[#This Row],[School District]])),MAX($A$1:A841)+1,0)</f>
        <v>0</v>
      </c>
      <c r="B842" s="661" t="s">
        <v>1071</v>
      </c>
      <c r="C842" s="1599">
        <v>45079140026</v>
      </c>
      <c r="D842" s="664">
        <v>26</v>
      </c>
      <c r="E842" t="str">
        <f>IF(OR(Table1[[#This Row],[Type]]=0,Table1[[#This Row],[Type]]&gt;=40),"JA","SD")</f>
        <v>SD</v>
      </c>
      <c r="F842" t="s">
        <v>1853</v>
      </c>
      <c r="G842" s="661" t="s">
        <v>2869</v>
      </c>
      <c r="J842" s="653" t="str">
        <f>IFERROR(VLOOKUP(ROWS($J$2:J842),$A$2:$B$996,2,FALSE),"")</f>
        <v/>
      </c>
    </row>
    <row r="843" spans="1:10" ht="15" customHeight="1" x14ac:dyDescent="0.2">
      <c r="A843">
        <f>IF(ISNUMBER(SEARCH(Cover!$H$13,Table1[[#This Row],[School District]])),MAX($A$1:A842)+1,0)</f>
        <v>0</v>
      </c>
      <c r="B843" t="s">
        <v>1636</v>
      </c>
      <c r="C843" s="1599">
        <v>1001172061</v>
      </c>
      <c r="D843" s="664">
        <v>61</v>
      </c>
      <c r="E843" t="str">
        <f>IF(OR(Table1[[#This Row],[Type]]=0,Table1[[#This Row],[Type]]&gt;=40),"JA","SD")</f>
        <v>JA</v>
      </c>
      <c r="F843" t="s">
        <v>1843</v>
      </c>
      <c r="G843" s="661" t="s">
        <v>2870</v>
      </c>
      <c r="J843" s="653" t="str">
        <f>IFERROR(VLOOKUP(ROWS($J$2:J843),$A$2:$B$996,2,FALSE),"")</f>
        <v/>
      </c>
    </row>
    <row r="844" spans="1:10" ht="15" customHeight="1" x14ac:dyDescent="0.2">
      <c r="A844">
        <f>IF(ISNUMBER(SEARCH(Cover!$H$13,Table1[[#This Row],[School District]])),MAX($A$1:A843)+1,0)</f>
        <v>0</v>
      </c>
      <c r="B844" t="s">
        <v>2006</v>
      </c>
      <c r="C844" s="1599">
        <v>48072000061</v>
      </c>
      <c r="D844" s="664">
        <v>61</v>
      </c>
      <c r="E844" t="str">
        <f>IF(OR(Table1[[#This Row],[Type]]=0,Table1[[#This Row],[Type]]&gt;=40),"JA","SD")</f>
        <v>JA</v>
      </c>
      <c r="F844" t="s">
        <v>1790</v>
      </c>
      <c r="G844" s="661" t="s">
        <v>2871</v>
      </c>
      <c r="J844" s="653" t="str">
        <f>IFERROR(VLOOKUP(ROWS($J$2:J844),$A$2:$B$996,2,FALSE),"")</f>
        <v/>
      </c>
    </row>
    <row r="845" spans="1:10" ht="15" customHeight="1" x14ac:dyDescent="0.2">
      <c r="A845">
        <f>IF(ISNUMBER(SEARCH(Cover!$H$13,Table1[[#This Row],[School District]])),MAX($A$1:A844)+1,0)</f>
        <v>0</v>
      </c>
      <c r="B845" t="s">
        <v>1703</v>
      </c>
      <c r="C845" s="1599">
        <v>34049825060</v>
      </c>
      <c r="D845" s="664">
        <v>60</v>
      </c>
      <c r="E845" t="str">
        <f>IF(OR(Table1[[#This Row],[Type]]=0,Table1[[#This Row],[Type]]&gt;=40),"JA","SD")</f>
        <v>JA</v>
      </c>
      <c r="F845" t="s">
        <v>1765</v>
      </c>
      <c r="G845" s="661" t="s">
        <v>2872</v>
      </c>
      <c r="J845" s="653" t="str">
        <f>IFERROR(VLOOKUP(ROWS($J$2:J845),$A$2:$B$996,2,FALSE),"")</f>
        <v/>
      </c>
    </row>
    <row r="846" spans="1:10" x14ac:dyDescent="0.2">
      <c r="A846">
        <f>IF(ISNUMBER(SEARCH(Cover!$H$13,Table1[[#This Row],[School District]])),MAX($A$1:A845)+1,0)</f>
        <v>0</v>
      </c>
      <c r="B846" t="s">
        <v>1745</v>
      </c>
      <c r="C846" s="1599">
        <v>44063801060</v>
      </c>
      <c r="D846" s="664">
        <v>60</v>
      </c>
      <c r="E846" t="str">
        <f>IF(OR(Table1[[#This Row],[Type]]=0,Table1[[#This Row],[Type]]&gt;=40),"JA","SD")</f>
        <v>JA</v>
      </c>
      <c r="F846" t="s">
        <v>1769</v>
      </c>
      <c r="G846" s="661" t="s">
        <v>2873</v>
      </c>
      <c r="J846" s="653" t="str">
        <f>IFERROR(VLOOKUP(ROWS($J$2:J846),$A$2:$B$996,2,FALSE),"")</f>
        <v/>
      </c>
    </row>
    <row r="847" spans="1:10" x14ac:dyDescent="0.2">
      <c r="A847">
        <f>IF(ISNUMBER(SEARCH(Cover!$H$13,Table1[[#This Row],[School District]])),MAX($A$1:A846)+1,0)</f>
        <v>0</v>
      </c>
      <c r="B847" t="s">
        <v>1653</v>
      </c>
      <c r="C847" s="1599">
        <v>7016802060</v>
      </c>
      <c r="D847" s="664">
        <v>60</v>
      </c>
      <c r="E847" t="str">
        <f>IF(OR(Table1[[#This Row],[Type]]=0,Table1[[#This Row],[Type]]&gt;=40),"JA","SD")</f>
        <v>JA</v>
      </c>
      <c r="F847" t="s">
        <v>1766</v>
      </c>
      <c r="G847" s="661" t="s">
        <v>2874</v>
      </c>
      <c r="J847" s="653" t="str">
        <f>IFERROR(VLOOKUP(ROWS($J$2:J847),$A$2:$B$996,2,FALSE),"")</f>
        <v/>
      </c>
    </row>
    <row r="848" spans="1:10" x14ac:dyDescent="0.2">
      <c r="A848">
        <f>IF(ISNUMBER(SEARCH(Cover!$H$13,Table1[[#This Row],[School District]])),MAX($A$1:A847)+1,0)</f>
        <v>0</v>
      </c>
      <c r="B848" s="661" t="s">
        <v>1268</v>
      </c>
      <c r="C848" s="1599">
        <v>26029004026</v>
      </c>
      <c r="D848" s="664">
        <v>26</v>
      </c>
      <c r="E848" t="str">
        <f>IF(OR(Table1[[#This Row],[Type]]=0,Table1[[#This Row],[Type]]&gt;=40),"JA","SD")</f>
        <v>SD</v>
      </c>
      <c r="F848" t="s">
        <v>3235</v>
      </c>
      <c r="G848" s="661" t="s">
        <v>2875</v>
      </c>
      <c r="J848" s="653" t="str">
        <f>IFERROR(VLOOKUP(ROWS($J$2:J848),$A$2:$B$996,2,FALSE),"")</f>
        <v/>
      </c>
    </row>
    <row r="849" spans="1:10" x14ac:dyDescent="0.2">
      <c r="A849">
        <f>IF(ISNUMBER(SEARCH(Cover!$H$13,Table1[[#This Row],[School District]])),MAX($A$1:A848)+1,0)</f>
        <v>0</v>
      </c>
      <c r="B849" s="702" t="s">
        <v>3072</v>
      </c>
      <c r="C849" s="1599">
        <v>13041178004</v>
      </c>
      <c r="D849" s="664">
        <v>4</v>
      </c>
      <c r="E849" t="str">
        <f>IF(OR(Table1[[#This Row],[Type]]=0,Table1[[#This Row],[Type]]&gt;=40),"JA","SD")</f>
        <v>SD</v>
      </c>
      <c r="F849" t="s">
        <v>1797</v>
      </c>
      <c r="G849" s="661" t="s">
        <v>2876</v>
      </c>
      <c r="J849" s="653" t="str">
        <f>IFERROR(VLOOKUP(ROWS($J$2:J849),$A$2:$B$996,2,FALSE),"")</f>
        <v/>
      </c>
    </row>
    <row r="850" spans="1:10" x14ac:dyDescent="0.2">
      <c r="A850">
        <f>IF(ISNUMBER(SEARCH(Cover!$H$13,Table1[[#This Row],[School District]])),MAX($A$1:A849)+1,0)</f>
        <v>0</v>
      </c>
      <c r="B850" s="661" t="s">
        <v>976</v>
      </c>
      <c r="C850" s="1599">
        <v>53090606004</v>
      </c>
      <c r="D850" s="664">
        <v>4</v>
      </c>
      <c r="E850" t="str">
        <f>IF(OR(Table1[[#This Row],[Type]]=0,Table1[[#This Row],[Type]]&gt;=40),"JA","SD")</f>
        <v>SD</v>
      </c>
      <c r="F850" t="s">
        <v>1847</v>
      </c>
      <c r="G850" s="661" t="s">
        <v>2877</v>
      </c>
      <c r="J850" s="653" t="str">
        <f>IFERROR(VLOOKUP(ROWS($J$2:J850),$A$2:$B$996,2,FALSE),"")</f>
        <v/>
      </c>
    </row>
    <row r="851" spans="1:10" x14ac:dyDescent="0.2">
      <c r="A851">
        <f>IF(ISNUMBER(SEARCH(Cover!$H$13,Table1[[#This Row],[School District]])),MAX($A$1:A850)+1,0)</f>
        <v>0</v>
      </c>
      <c r="B851" s="661" t="s">
        <v>1252</v>
      </c>
      <c r="C851" s="1599">
        <v>28006099004</v>
      </c>
      <c r="D851" s="664">
        <v>4</v>
      </c>
      <c r="E851" t="str">
        <f>IF(OR(Table1[[#This Row],[Type]]=0,Table1[[#This Row],[Type]]&gt;=40),"JA","SD")</f>
        <v>SD</v>
      </c>
      <c r="F851" t="s">
        <v>1818</v>
      </c>
      <c r="G851" s="661" t="s">
        <v>2878</v>
      </c>
      <c r="J851" s="653" t="str">
        <f>IFERROR(VLOOKUP(ROWS($J$2:J851),$A$2:$B$996,2,FALSE),"")</f>
        <v/>
      </c>
    </row>
    <row r="852" spans="1:10" ht="12.75" customHeight="1" x14ac:dyDescent="0.2">
      <c r="A852">
        <f>IF(ISNUMBER(SEARCH(Cover!$H$13,Table1[[#This Row],[School District]])),MAX($A$1:A851)+1,0)</f>
        <v>0</v>
      </c>
      <c r="B852" s="661" t="s">
        <v>991</v>
      </c>
      <c r="C852" s="1599">
        <v>51084186025</v>
      </c>
      <c r="D852" s="664">
        <v>25</v>
      </c>
      <c r="E852" t="str">
        <f>IF(OR(Table1[[#This Row],[Type]]=0,Table1[[#This Row],[Type]]&gt;=40),"JA","SD")</f>
        <v>SD</v>
      </c>
      <c r="F852" t="s">
        <v>1788</v>
      </c>
      <c r="G852" s="661" t="s">
        <v>2879</v>
      </c>
      <c r="J852" s="653" t="str">
        <f>IFERROR(VLOOKUP(ROWS($J$2:J852),$A$2:$B$996,2,FALSE),"")</f>
        <v/>
      </c>
    </row>
    <row r="853" spans="1:10" ht="12.75" customHeight="1" x14ac:dyDescent="0.2">
      <c r="A853">
        <f>IF(ISNUMBER(SEARCH(Cover!$H$13,Table1[[#This Row],[School District]])),MAX($A$1:A852)+1,0)</f>
        <v>0</v>
      </c>
      <c r="B853" s="661" t="s">
        <v>1199</v>
      </c>
      <c r="C853" s="1599">
        <v>32046256004</v>
      </c>
      <c r="D853" s="664">
        <v>4</v>
      </c>
      <c r="E853" t="str">
        <f>IF(OR(Table1[[#This Row],[Type]]=0,Table1[[#This Row],[Type]]&gt;=40),"JA","SD")</f>
        <v>SD</v>
      </c>
      <c r="F853" t="s">
        <v>1808</v>
      </c>
      <c r="G853" s="661" t="s">
        <v>2880</v>
      </c>
      <c r="J853" s="653" t="str">
        <f>IFERROR(VLOOKUP(ROWS($J$2:J853),$A$2:$B$996,2,FALSE),"")</f>
        <v/>
      </c>
    </row>
    <row r="854" spans="1:10" ht="12.75" customHeight="1" x14ac:dyDescent="0.2">
      <c r="A854">
        <f>IF(ISNUMBER(SEARCH(Cover!$H$13,Table1[[#This Row],[School District]])),MAX($A$1:A853)+1,0)</f>
        <v>0</v>
      </c>
      <c r="B854" s="661" t="s">
        <v>1196</v>
      </c>
      <c r="C854" s="1599">
        <v>32046302016</v>
      </c>
      <c r="D854" s="664">
        <v>16</v>
      </c>
      <c r="E854" t="str">
        <f>IF(OR(Table1[[#This Row],[Type]]=0,Table1[[#This Row],[Type]]&gt;=40),"JA","SD")</f>
        <v>SD</v>
      </c>
      <c r="F854" t="s">
        <v>1808</v>
      </c>
      <c r="G854" s="661" t="s">
        <v>2881</v>
      </c>
      <c r="J854" s="653" t="str">
        <f>IFERROR(VLOOKUP(ROWS($J$2:J854),$A$2:$B$996,2,FALSE),"")</f>
        <v/>
      </c>
    </row>
    <row r="855" spans="1:10" ht="12.75" customHeight="1" x14ac:dyDescent="0.2">
      <c r="A855">
        <f>IF(ISNUMBER(SEARCH(Cover!$H$13,Table1[[#This Row],[School District]])),MAX($A$1:A854)+1,0)</f>
        <v>0</v>
      </c>
      <c r="B855" s="661" t="s">
        <v>1213</v>
      </c>
      <c r="C855" s="1599">
        <v>31045303026</v>
      </c>
      <c r="D855" s="664">
        <v>26</v>
      </c>
      <c r="E855" t="str">
        <f>IF(OR(Table1[[#This Row],[Type]]=0,Table1[[#This Row],[Type]]&gt;=40),"JA","SD")</f>
        <v>SD</v>
      </c>
      <c r="F855" t="s">
        <v>1789</v>
      </c>
      <c r="G855" s="661" t="s">
        <v>2882</v>
      </c>
      <c r="J855" s="653" t="str">
        <f>IFERROR(VLOOKUP(ROWS($J$2:J855),$A$2:$B$996,2,FALSE),"")</f>
        <v/>
      </c>
    </row>
    <row r="856" spans="1:10" ht="12.75" customHeight="1" x14ac:dyDescent="0.2">
      <c r="A856">
        <f>IF(ISNUMBER(SEARCH(Cover!$H$13,Table1[[#This Row],[School District]])),MAX($A$1:A855)+1,0)</f>
        <v>0</v>
      </c>
      <c r="B856" s="661" t="s">
        <v>1604</v>
      </c>
      <c r="C856" s="1599">
        <v>3026202026</v>
      </c>
      <c r="D856" s="664">
        <v>26</v>
      </c>
      <c r="E856" t="str">
        <f>IF(OR(Table1[[#This Row],[Type]]=0,Table1[[#This Row],[Type]]&gt;=40),"JA","SD")</f>
        <v>SD</v>
      </c>
      <c r="F856" t="s">
        <v>1807</v>
      </c>
      <c r="G856" s="661" t="s">
        <v>2883</v>
      </c>
      <c r="J856" s="653" t="str">
        <f>IFERROR(VLOOKUP(ROWS($J$2:J856),$A$2:$B$996,2,FALSE),"")</f>
        <v/>
      </c>
    </row>
    <row r="857" spans="1:10" ht="12.75" customHeight="1" x14ac:dyDescent="0.2">
      <c r="A857">
        <f>IF(ISNUMBER(SEARCH(Cover!$H$13,Table1[[#This Row],[School District]])),MAX($A$1:A856)+1,0)</f>
        <v>0</v>
      </c>
      <c r="B857" s="661" t="s">
        <v>1198</v>
      </c>
      <c r="C857" s="1599">
        <v>32046258004</v>
      </c>
      <c r="D857" s="664">
        <v>4</v>
      </c>
      <c r="E857" t="str">
        <f>IF(OR(Table1[[#This Row],[Type]]=0,Table1[[#This Row],[Type]]&gt;=40),"JA","SD")</f>
        <v>SD</v>
      </c>
      <c r="F857" t="s">
        <v>1808</v>
      </c>
      <c r="G857" s="661" t="s">
        <v>2884</v>
      </c>
      <c r="J857" s="653" t="str">
        <f>IFERROR(VLOOKUP(ROWS($J$2:J857),$A$2:$B$996,2,FALSE),"")</f>
        <v/>
      </c>
    </row>
    <row r="858" spans="1:10" ht="12.75" customHeight="1" x14ac:dyDescent="0.2">
      <c r="A858">
        <f>IF(ISNUMBER(SEARCH(Cover!$H$13,Table1[[#This Row],[School District]])),MAX($A$1:A857)+1,0)</f>
        <v>0</v>
      </c>
      <c r="B858" s="661" t="s">
        <v>1445</v>
      </c>
      <c r="C858" s="1599">
        <v>9010169004</v>
      </c>
      <c r="D858" s="664">
        <v>4</v>
      </c>
      <c r="E858" t="str">
        <f>IF(OR(Table1[[#This Row],[Type]]=0,Table1[[#This Row],[Type]]&gt;=40),"JA","SD")</f>
        <v>SD</v>
      </c>
      <c r="F858" t="s">
        <v>1851</v>
      </c>
      <c r="G858" s="661" t="s">
        <v>2885</v>
      </c>
      <c r="J858" s="653" t="str">
        <f>IFERROR(VLOOKUP(ROWS($J$2:J858),$A$2:$B$996,2,FALSE),"")</f>
        <v/>
      </c>
    </row>
    <row r="859" spans="1:10" ht="12.75" customHeight="1" x14ac:dyDescent="0.2">
      <c r="A859">
        <f>IF(ISNUMBER(SEARCH(Cover!$H$13,Table1[[#This Row],[School District]])),MAX($A$1:A858)+1,0)</f>
        <v>0</v>
      </c>
      <c r="B859" s="661" t="s">
        <v>1442</v>
      </c>
      <c r="C859" s="1599">
        <v>9010305016</v>
      </c>
      <c r="D859" s="664">
        <v>16</v>
      </c>
      <c r="E859" t="str">
        <f>IF(OR(Table1[[#This Row],[Type]]=0,Table1[[#This Row],[Type]]&gt;=40),"JA","SD")</f>
        <v>SD</v>
      </c>
      <c r="F859" t="s">
        <v>3226</v>
      </c>
      <c r="G859" s="661" t="s">
        <v>2886</v>
      </c>
      <c r="J859" s="653" t="str">
        <f>IFERROR(VLOOKUP(ROWS($J$2:J859),$A$2:$B$996,2,FALSE),"")</f>
        <v/>
      </c>
    </row>
    <row r="860" spans="1:10" x14ac:dyDescent="0.2">
      <c r="A860">
        <f>IF(ISNUMBER(SEARCH(Cover!$H$13,Table1[[#This Row],[School District]])),MAX($A$1:A859)+1,0)</f>
        <v>0</v>
      </c>
      <c r="B860" s="661" t="s">
        <v>2007</v>
      </c>
      <c r="C860" s="1599">
        <v>50082030003</v>
      </c>
      <c r="D860" s="664">
        <v>3</v>
      </c>
      <c r="E860" t="str">
        <f>IF(OR(Table1[[#This Row],[Type]]=0,Table1[[#This Row],[Type]]&gt;=40),"JA","SD")</f>
        <v>SD</v>
      </c>
      <c r="F860" t="s">
        <v>3134</v>
      </c>
      <c r="G860" s="661" t="s">
        <v>2887</v>
      </c>
      <c r="J860" s="653" t="str">
        <f>IFERROR(VLOOKUP(ROWS($J$2:J860),$A$2:$B$996,2,FALSE),"")</f>
        <v/>
      </c>
    </row>
    <row r="861" spans="1:10" ht="12.75" customHeight="1" x14ac:dyDescent="0.2">
      <c r="A861">
        <f>IF(ISNUMBER(SEARCH(Cover!$H$13,Table1[[#This Row],[School District]])),MAX($A$1:A860)+1,0)</f>
        <v>0</v>
      </c>
      <c r="B861" s="661" t="s">
        <v>1406</v>
      </c>
      <c r="C861" s="1599">
        <v>13014141502</v>
      </c>
      <c r="D861" s="664">
        <v>2</v>
      </c>
      <c r="E861" t="str">
        <f>IF(OR(Table1[[#This Row],[Type]]=0,Table1[[#This Row],[Type]]&gt;=40),"JA","SD")</f>
        <v>SD</v>
      </c>
      <c r="F861" t="s">
        <v>1768</v>
      </c>
      <c r="G861" s="661" t="s">
        <v>2888</v>
      </c>
      <c r="J861" s="653" t="str">
        <f>IFERROR(VLOOKUP(ROWS($J$2:J861),$A$2:$B$996,2,FALSE),"")</f>
        <v/>
      </c>
    </row>
    <row r="862" spans="1:10" ht="12.75" customHeight="1" x14ac:dyDescent="0.2">
      <c r="A862">
        <f>IF(ISNUMBER(SEARCH(Cover!$H$13,Table1[[#This Row],[School District]])),MAX($A$1:A861)+1,0)</f>
        <v>0</v>
      </c>
      <c r="B862" s="661" t="s">
        <v>2008</v>
      </c>
      <c r="C862" s="1599">
        <v>28088100026</v>
      </c>
      <c r="D862" s="664">
        <v>26</v>
      </c>
      <c r="E862" t="str">
        <f>IF(OR(Table1[[#This Row],[Type]]=0,Table1[[#This Row],[Type]]&gt;=40),"JA","SD")</f>
        <v>SD</v>
      </c>
      <c r="F862" t="s">
        <v>3236</v>
      </c>
      <c r="G862" s="661" t="s">
        <v>2889</v>
      </c>
      <c r="J862" s="653" t="str">
        <f>IFERROR(VLOOKUP(ROWS($J$2:J862),$A$2:$B$996,2,FALSE),"")</f>
        <v/>
      </c>
    </row>
    <row r="863" spans="1:10" ht="12.75" customHeight="1" x14ac:dyDescent="0.2">
      <c r="A863">
        <f>IF(ISNUMBER(SEARCH(Cover!$H$13,Table1[[#This Row],[School District]])),MAX($A$1:A862)+1,0)</f>
        <v>0</v>
      </c>
      <c r="B863" t="s">
        <v>1706</v>
      </c>
      <c r="C863" s="1599">
        <v>35050720045</v>
      </c>
      <c r="D863" s="664">
        <v>45</v>
      </c>
      <c r="E863" t="str">
        <f>IF(OR(Table1[[#This Row],[Type]]=0,Table1[[#This Row],[Type]]&gt;=40),"JA","SD")</f>
        <v>JA</v>
      </c>
      <c r="F863" t="s">
        <v>3165</v>
      </c>
      <c r="G863" s="661" t="s">
        <v>2890</v>
      </c>
      <c r="J863" s="653" t="str">
        <f>IFERROR(VLOOKUP(ROWS($J$2:J863),$A$2:$B$996,2,FALSE),"")</f>
        <v/>
      </c>
    </row>
    <row r="864" spans="1:10" ht="12.75" customHeight="1" x14ac:dyDescent="0.2">
      <c r="A864">
        <f>IF(ISNUMBER(SEARCH(Cover!$H$13,Table1[[#This Row],[School District]])),MAX($A$1:A863)+1,0)</f>
        <v>0</v>
      </c>
      <c r="B864" s="661" t="s">
        <v>1109</v>
      </c>
      <c r="C864" s="1599">
        <v>40056006026</v>
      </c>
      <c r="D864" s="664">
        <v>26</v>
      </c>
      <c r="E864" t="str">
        <f>IF(OR(Table1[[#This Row],[Type]]=0,Table1[[#This Row],[Type]]&gt;=40),"JA","SD")</f>
        <v>SD</v>
      </c>
      <c r="F864" t="s">
        <v>3284</v>
      </c>
      <c r="G864" s="661" t="s">
        <v>2891</v>
      </c>
      <c r="J864" s="653" t="str">
        <f>IFERROR(VLOOKUP(ROWS($J$2:J864),$A$2:$B$996,2,FALSE),"")</f>
        <v/>
      </c>
    </row>
    <row r="865" spans="1:10" ht="12.75" customHeight="1" x14ac:dyDescent="0.2">
      <c r="A865">
        <f>IF(ISNUMBER(SEARCH(Cover!$H$13,Table1[[#This Row],[School District]])),MAX($A$1:A864)+1,0)</f>
        <v>0</v>
      </c>
      <c r="B865" s="661" t="s">
        <v>1073</v>
      </c>
      <c r="C865" s="1599">
        <v>45079138026</v>
      </c>
      <c r="D865" s="664">
        <v>26</v>
      </c>
      <c r="E865" t="str">
        <f>IF(OR(Table1[[#This Row],[Type]]=0,Table1[[#This Row],[Type]]&gt;=40),"JA","SD")</f>
        <v>SD</v>
      </c>
      <c r="F865" t="s">
        <v>1853</v>
      </c>
      <c r="G865" s="661" t="s">
        <v>2892</v>
      </c>
      <c r="J865" s="653" t="str">
        <f>IFERROR(VLOOKUP(ROWS($J$2:J865),$A$2:$B$996,2,FALSE),"")</f>
        <v/>
      </c>
    </row>
    <row r="866" spans="1:10" ht="12.75" customHeight="1" x14ac:dyDescent="0.2">
      <c r="A866">
        <f>IF(ISNUMBER(SEARCH(Cover!$H$13,Table1[[#This Row],[School District]])),MAX($A$1:A865)+1,0)</f>
        <v>0</v>
      </c>
      <c r="B866" s="661" t="s">
        <v>1473</v>
      </c>
      <c r="C866" s="1599">
        <v>7016194002</v>
      </c>
      <c r="D866" s="664">
        <v>2</v>
      </c>
      <c r="E866" t="str">
        <f>IF(OR(Table1[[#This Row],[Type]]=0,Table1[[#This Row],[Type]]&gt;=40),"JA","SD")</f>
        <v>SD</v>
      </c>
      <c r="F866" t="s">
        <v>3144</v>
      </c>
      <c r="G866" s="661" t="s">
        <v>2893</v>
      </c>
      <c r="J866" s="653" t="str">
        <f>IFERROR(VLOOKUP(ROWS($J$2:J866),$A$2:$B$996,2,FALSE),"")</f>
        <v/>
      </c>
    </row>
    <row r="867" spans="1:10" ht="12.75" customHeight="1" x14ac:dyDescent="0.2">
      <c r="A867">
        <f>IF(ISNUMBER(SEARCH(Cover!$H$13,Table1[[#This Row],[School District]])),MAX($A$1:A866)+1,0)</f>
        <v>0</v>
      </c>
      <c r="B867" s="661" t="s">
        <v>1054</v>
      </c>
      <c r="C867" s="1599">
        <v>47098005026</v>
      </c>
      <c r="D867" s="664">
        <v>26</v>
      </c>
      <c r="E867" t="str">
        <f>IF(OR(Table1[[#This Row],[Type]]=0,Table1[[#This Row],[Type]]&gt;=40),"JA","SD")</f>
        <v>SD</v>
      </c>
      <c r="F867" t="s">
        <v>1798</v>
      </c>
      <c r="G867" s="661" t="s">
        <v>2894</v>
      </c>
      <c r="J867" s="653" t="str">
        <f>IFERROR(VLOOKUP(ROWS($J$2:J867),$A$2:$B$996,2,FALSE),"")</f>
        <v/>
      </c>
    </row>
    <row r="868" spans="1:10" ht="12.75" customHeight="1" x14ac:dyDescent="0.2">
      <c r="A868">
        <f>IF(ISNUMBER(SEARCH(Cover!$H$13,Table1[[#This Row],[School District]])),MAX($A$1:A867)+1,0)</f>
        <v>0</v>
      </c>
      <c r="B868" s="661" t="s">
        <v>1069</v>
      </c>
      <c r="C868" s="1599">
        <v>47052220002</v>
      </c>
      <c r="D868" s="664">
        <v>2</v>
      </c>
      <c r="E868" t="str">
        <f>IF(OR(Table1[[#This Row],[Type]]=0,Table1[[#This Row],[Type]]&gt;=40),"JA","SD")</f>
        <v>SD</v>
      </c>
      <c r="F868" t="s">
        <v>3285</v>
      </c>
      <c r="G868" s="661" t="s">
        <v>2895</v>
      </c>
      <c r="J868" s="653" t="str">
        <f>IFERROR(VLOOKUP(ROWS($J$2:J868),$A$2:$B$996,2,FALSE),"")</f>
        <v/>
      </c>
    </row>
    <row r="869" spans="1:10" ht="12.75" customHeight="1" x14ac:dyDescent="0.2">
      <c r="A869">
        <f>IF(ISNUMBER(SEARCH(Cover!$H$13,Table1[[#This Row],[School District]])),MAX($A$1:A868)+1,0)</f>
        <v>0</v>
      </c>
      <c r="B869" s="661" t="s">
        <v>929</v>
      </c>
      <c r="C869" s="1599" t="s">
        <v>930</v>
      </c>
      <c r="D869" s="664">
        <v>26</v>
      </c>
      <c r="E869" t="str">
        <f>IF(OR(Table1[[#This Row],[Type]]=0,Table1[[#This Row],[Type]]&gt;=40),"JA","SD")</f>
        <v>SD</v>
      </c>
      <c r="F869" t="s">
        <v>1841</v>
      </c>
      <c r="G869" s="661" t="s">
        <v>2896</v>
      </c>
      <c r="J869" s="653" t="str">
        <f>IFERROR(VLOOKUP(ROWS($J$2:J869),$A$2:$B$996,2,FALSE),"")</f>
        <v/>
      </c>
    </row>
    <row r="870" spans="1:10" ht="12.75" customHeight="1" x14ac:dyDescent="0.2">
      <c r="A870">
        <f>IF(ISNUMBER(SEARCH(Cover!$H$13,Table1[[#This Row],[School District]])),MAX($A$1:A869)+1,0)</f>
        <v>0</v>
      </c>
      <c r="B870" s="661" t="s">
        <v>1457</v>
      </c>
      <c r="C870" s="1599">
        <v>8043206026</v>
      </c>
      <c r="D870" s="664">
        <v>26</v>
      </c>
      <c r="E870" t="str">
        <f>IF(OR(Table1[[#This Row],[Type]]=0,Table1[[#This Row],[Type]]&gt;=40),"JA","SD")</f>
        <v>SD</v>
      </c>
      <c r="F870" t="s">
        <v>1885</v>
      </c>
      <c r="G870" s="661" t="s">
        <v>2897</v>
      </c>
      <c r="J870" s="653" t="str">
        <f>IFERROR(VLOOKUP(ROWS($J$2:J870),$A$2:$B$996,2,FALSE),"")</f>
        <v/>
      </c>
    </row>
    <row r="871" spans="1:10" ht="12.75" customHeight="1" x14ac:dyDescent="0.2">
      <c r="A871">
        <f>IF(ISNUMBER(SEARCH(Cover!$H$13,Table1[[#This Row],[School District]])),MAX($A$1:A870)+1,0)</f>
        <v>0</v>
      </c>
      <c r="B871" s="661" t="s">
        <v>1143</v>
      </c>
      <c r="C871" s="1599">
        <v>35050044002</v>
      </c>
      <c r="D871" s="664">
        <v>2</v>
      </c>
      <c r="E871" t="str">
        <f>IF(OR(Table1[[#This Row],[Type]]=0,Table1[[#This Row],[Type]]&gt;=40),"JA","SD")</f>
        <v>SD</v>
      </c>
      <c r="F871" t="s">
        <v>3165</v>
      </c>
      <c r="G871" s="661" t="s">
        <v>2898</v>
      </c>
      <c r="J871" s="653" t="str">
        <f>IFERROR(VLOOKUP(ROWS($J$2:J871),$A$2:$B$996,2,FALSE),"")</f>
        <v/>
      </c>
    </row>
    <row r="872" spans="1:10" ht="12.75" customHeight="1" x14ac:dyDescent="0.2">
      <c r="A872">
        <f>IF(ISNUMBER(SEARCH(Cover!$H$13,Table1[[#This Row],[School District]])),MAX($A$1:A871)+1,0)</f>
        <v>0</v>
      </c>
      <c r="B872" s="661" t="s">
        <v>1144</v>
      </c>
      <c r="C872" s="1599">
        <v>35050040017</v>
      </c>
      <c r="D872" s="664">
        <v>17</v>
      </c>
      <c r="E872" t="str">
        <f>IF(OR(Table1[[#This Row],[Type]]=0,Table1[[#This Row],[Type]]&gt;=40),"JA","SD")</f>
        <v>SD</v>
      </c>
      <c r="F872" t="s">
        <v>3135</v>
      </c>
      <c r="G872" s="661" t="s">
        <v>2899</v>
      </c>
      <c r="J872" s="653" t="str">
        <f>IFERROR(VLOOKUP(ROWS($J$2:J872),$A$2:$B$996,2,FALSE),"")</f>
        <v/>
      </c>
    </row>
    <row r="873" spans="1:10" ht="12.75" customHeight="1" x14ac:dyDescent="0.2">
      <c r="A873">
        <f>IF(ISNUMBER(SEARCH(Cover!$H$13,Table1[[#This Row],[School District]])),MAX($A$1:A872)+1,0)</f>
        <v>0</v>
      </c>
      <c r="B873" s="661" t="s">
        <v>1426</v>
      </c>
      <c r="C873" s="1599">
        <v>11070300026</v>
      </c>
      <c r="D873" s="664">
        <v>26</v>
      </c>
      <c r="E873" t="str">
        <f>IF(OR(Table1[[#This Row],[Type]]=0,Table1[[#This Row],[Type]]&gt;=40),"JA","SD")</f>
        <v>SD</v>
      </c>
      <c r="F873" t="s">
        <v>3237</v>
      </c>
      <c r="G873" s="661" t="s">
        <v>2900</v>
      </c>
      <c r="J873" s="653" t="str">
        <f>IFERROR(VLOOKUP(ROWS($J$2:J873),$A$2:$B$996,2,FALSE),"")</f>
        <v/>
      </c>
    </row>
    <row r="874" spans="1:10" ht="12.75" customHeight="1" x14ac:dyDescent="0.2">
      <c r="A874">
        <f>IF(ISNUMBER(SEARCH(Cover!$H$13,Table1[[#This Row],[School District]])),MAX($A$1:A873)+1,0)</f>
        <v>0</v>
      </c>
      <c r="B874" s="661" t="s">
        <v>1398</v>
      </c>
      <c r="C874" s="1599">
        <v>13041079002</v>
      </c>
      <c r="D874" s="664">
        <v>2</v>
      </c>
      <c r="E874" t="str">
        <f>IF(OR(Table1[[#This Row],[Type]]=0,Table1[[#This Row],[Type]]&gt;=40),"JA","SD")</f>
        <v>SD</v>
      </c>
      <c r="F874" t="s">
        <v>1797</v>
      </c>
      <c r="G874" s="661" t="s">
        <v>2901</v>
      </c>
      <c r="J874" s="653" t="str">
        <f>IFERROR(VLOOKUP(ROWS($J$2:J874),$A$2:$B$996,2,FALSE),"")</f>
        <v/>
      </c>
    </row>
    <row r="875" spans="1:10" ht="12.75" customHeight="1" x14ac:dyDescent="0.2">
      <c r="A875">
        <f>IF(ISNUMBER(SEARCH(Cover!$H$13,Table1[[#This Row],[School District]])),MAX($A$1:A874)+1,0)</f>
        <v>0</v>
      </c>
      <c r="B875" s="661" t="s">
        <v>946</v>
      </c>
      <c r="C875" s="1599">
        <v>56099161002</v>
      </c>
      <c r="D875" s="664">
        <v>2</v>
      </c>
      <c r="E875" t="str">
        <f>IF(OR(Table1[[#This Row],[Type]]=0,Table1[[#This Row],[Type]]&gt;=40),"JA","SD")</f>
        <v>SD</v>
      </c>
      <c r="F875" t="s">
        <v>1793</v>
      </c>
      <c r="G875" s="661" t="s">
        <v>2902</v>
      </c>
      <c r="J875" s="653" t="str">
        <f>IFERROR(VLOOKUP(ROWS($J$2:J875),$A$2:$B$996,2,FALSE),"")</f>
        <v/>
      </c>
    </row>
    <row r="876" spans="1:10" ht="12.75" customHeight="1" x14ac:dyDescent="0.2">
      <c r="A876">
        <f>IF(ISNUMBER(SEARCH(Cover!$H$13,Table1[[#This Row],[School District]])),MAX($A$1:A875)+1,0)</f>
        <v>0</v>
      </c>
      <c r="B876" s="661" t="s">
        <v>1520</v>
      </c>
      <c r="C876" s="1599">
        <v>7016104002</v>
      </c>
      <c r="D876" s="664">
        <v>2</v>
      </c>
      <c r="E876" t="str">
        <f>IF(OR(Table1[[#This Row],[Type]]=0,Table1[[#This Row],[Type]]&gt;=40),"JA","SD")</f>
        <v>SD</v>
      </c>
      <c r="F876" t="s">
        <v>1766</v>
      </c>
      <c r="G876" s="661" t="s">
        <v>2903</v>
      </c>
      <c r="J876" s="653" t="str">
        <f>IFERROR(VLOOKUP(ROWS($J$2:J876),$A$2:$B$996,2,FALSE),"")</f>
        <v/>
      </c>
    </row>
    <row r="877" spans="1:10" ht="12.75" customHeight="1" x14ac:dyDescent="0.2">
      <c r="A877">
        <f>IF(ISNUMBER(SEARCH(Cover!$H$13,Table1[[#This Row],[School District]])),MAX($A$1:A876)+1,0)</f>
        <v>0</v>
      </c>
      <c r="B877" s="661" t="s">
        <v>1475</v>
      </c>
      <c r="C877" s="1599">
        <v>7016171002</v>
      </c>
      <c r="D877" s="664">
        <v>2</v>
      </c>
      <c r="E877" t="str">
        <f>IF(OR(Table1[[#This Row],[Type]]=0,Table1[[#This Row],[Type]]&gt;=40),"JA","SD")</f>
        <v>SD</v>
      </c>
      <c r="F877" t="s">
        <v>1766</v>
      </c>
      <c r="G877" s="661" t="s">
        <v>2904</v>
      </c>
      <c r="J877" s="653" t="str">
        <f>IFERROR(VLOOKUP(ROWS($J$2:J877),$A$2:$B$996,2,FALSE),"")</f>
        <v/>
      </c>
    </row>
    <row r="878" spans="1:10" ht="12.75" customHeight="1" x14ac:dyDescent="0.2">
      <c r="A878">
        <f>IF(ISNUMBER(SEARCH(Cover!$H$13,Table1[[#This Row],[School District]])),MAX($A$1:A877)+1,0)</f>
        <v>0</v>
      </c>
      <c r="B878" s="661" t="s">
        <v>1580</v>
      </c>
      <c r="C878" s="1599">
        <v>5016029002</v>
      </c>
      <c r="D878" s="664">
        <v>2</v>
      </c>
      <c r="E878" t="str">
        <f>IF(OR(Table1[[#This Row],[Type]]=0,Table1[[#This Row],[Type]]&gt;=40),"JA","SD")</f>
        <v>SD</v>
      </c>
      <c r="F878" t="s">
        <v>1766</v>
      </c>
      <c r="G878" s="661" t="s">
        <v>2905</v>
      </c>
      <c r="J878" s="653" t="str">
        <f>IFERROR(VLOOKUP(ROWS($J$2:J878),$A$2:$B$996,2,FALSE),"")</f>
        <v/>
      </c>
    </row>
    <row r="879" spans="1:10" x14ac:dyDescent="0.2">
      <c r="A879">
        <f>IF(ISNUMBER(SEARCH(Cover!$H$13,Table1[[#This Row],[School District]])),MAX($A$1:A878)+1,0)</f>
        <v>0</v>
      </c>
      <c r="B879" s="661" t="s">
        <v>1376</v>
      </c>
      <c r="C879" s="1599">
        <v>16019427026</v>
      </c>
      <c r="D879" s="664">
        <v>26</v>
      </c>
      <c r="E879" t="str">
        <f>IF(OR(Table1[[#This Row],[Type]]=0,Table1[[#This Row],[Type]]&gt;=40),"JA","SD")</f>
        <v>SD</v>
      </c>
      <c r="F879" t="s">
        <v>3238</v>
      </c>
      <c r="G879" s="661" t="s">
        <v>2906</v>
      </c>
      <c r="J879" s="653" t="str">
        <f>IFERROR(VLOOKUP(ROWS($J$2:J879),$A$2:$B$996,2,FALSE),"")</f>
        <v/>
      </c>
    </row>
    <row r="880" spans="1:10" x14ac:dyDescent="0.2">
      <c r="A880">
        <f>IF(ISNUMBER(SEARCH(Cover!$H$13,Table1[[#This Row],[School District]])),MAX($A$1:A879)+1,0)</f>
        <v>0</v>
      </c>
      <c r="B880" s="661" t="s">
        <v>951</v>
      </c>
      <c r="C880" s="1599">
        <v>56099090002</v>
      </c>
      <c r="D880" s="664">
        <v>2</v>
      </c>
      <c r="E880" t="str">
        <f>IF(OR(Table1[[#This Row],[Type]]=0,Table1[[#This Row],[Type]]&gt;=40),"JA","SD")</f>
        <v>SD</v>
      </c>
      <c r="F880" t="s">
        <v>1793</v>
      </c>
      <c r="G880" s="661" t="s">
        <v>2907</v>
      </c>
      <c r="J880" s="653" t="str">
        <f>IFERROR(VLOOKUP(ROWS($J$2:J880),$A$2:$B$996,2,FALSE),"")</f>
        <v/>
      </c>
    </row>
    <row r="881" spans="1:10" ht="12.75" customHeight="1" x14ac:dyDescent="0.2">
      <c r="A881">
        <f>IF(ISNUMBER(SEARCH(Cover!$H$13,Table1[[#This Row],[School District]])),MAX($A$1:A880)+1,0)</f>
        <v>0</v>
      </c>
      <c r="B881" s="661" t="s">
        <v>2009</v>
      </c>
      <c r="C881" s="1599">
        <v>30073005002</v>
      </c>
      <c r="D881" s="664">
        <v>2</v>
      </c>
      <c r="E881" t="str">
        <f>IF(OR(Table1[[#This Row],[Type]]=0,Table1[[#This Row],[Type]]&gt;=40),"JA","SD")</f>
        <v>SD</v>
      </c>
      <c r="F881" t="s">
        <v>1837</v>
      </c>
      <c r="G881" s="661" t="s">
        <v>2908</v>
      </c>
      <c r="J881" s="653" t="str">
        <f>IFERROR(VLOOKUP(ROWS($J$2:J881),$A$2:$B$996,2,FALSE),"")</f>
        <v/>
      </c>
    </row>
    <row r="882" spans="1:10" ht="12.75" customHeight="1" x14ac:dyDescent="0.2">
      <c r="A882">
        <f>IF(ISNUMBER(SEARCH(Cover!$H$13,Table1[[#This Row],[School District]])),MAX($A$1:A881)+1,0)</f>
        <v>0</v>
      </c>
      <c r="B882" s="661" t="s">
        <v>1614</v>
      </c>
      <c r="C882" s="1599">
        <v>3011003026</v>
      </c>
      <c r="D882" s="664">
        <v>26</v>
      </c>
      <c r="E882" t="str">
        <f>IF(OR(Table1[[#This Row],[Type]]=0,Table1[[#This Row],[Type]]&gt;=40),"JA","SD")</f>
        <v>SD</v>
      </c>
      <c r="F882" t="s">
        <v>1889</v>
      </c>
      <c r="G882" s="661" t="s">
        <v>2909</v>
      </c>
      <c r="J882" s="653" t="str">
        <f>IFERROR(VLOOKUP(ROWS($J$2:J882),$A$2:$B$996,2,FALSE),"")</f>
        <v/>
      </c>
    </row>
    <row r="883" spans="1:10" ht="12.75" customHeight="1" x14ac:dyDescent="0.2">
      <c r="A883">
        <f>IF(ISNUMBER(SEARCH(Cover!$H$13,Table1[[#This Row],[School District]])),MAX($A$1:A882)+1,0)</f>
        <v>0</v>
      </c>
      <c r="B883" t="s">
        <v>1726</v>
      </c>
      <c r="C883" s="1599">
        <v>53000000046</v>
      </c>
      <c r="D883" s="664">
        <v>46</v>
      </c>
      <c r="E883" t="str">
        <f>IF(OR(Table1[[#This Row],[Type]]=0,Table1[[#This Row],[Type]]&gt;=40),"JA","SD")</f>
        <v>JA</v>
      </c>
      <c r="F883" t="s">
        <v>1847</v>
      </c>
      <c r="G883" s="661" t="s">
        <v>2910</v>
      </c>
      <c r="J883" s="653" t="str">
        <f>IFERROR(VLOOKUP(ROWS($J$2:J883),$A$2:$B$996,2,FALSE),"")</f>
        <v/>
      </c>
    </row>
    <row r="884" spans="1:10" ht="12.75" customHeight="1" x14ac:dyDescent="0.2">
      <c r="A884">
        <f>IF(ISNUMBER(SEARCH(Cover!$H$13,Table1[[#This Row],[School District]])),MAX($A$1:A883)+1,0)</f>
        <v>0</v>
      </c>
      <c r="B884" t="s">
        <v>2010</v>
      </c>
      <c r="C884" s="1599">
        <v>53090309061</v>
      </c>
      <c r="D884" s="664">
        <v>61</v>
      </c>
      <c r="E884" t="str">
        <f>IF(OR(Table1[[#This Row],[Type]]=0,Table1[[#This Row],[Type]]&gt;=40),"JA","SD")</f>
        <v>JA</v>
      </c>
      <c r="F884" t="s">
        <v>1847</v>
      </c>
      <c r="G884" s="661" t="s">
        <v>2911</v>
      </c>
      <c r="J884" s="653" t="str">
        <f>IFERROR(VLOOKUP(ROWS($J$2:J884),$A$2:$B$996,2,FALSE),"")</f>
        <v/>
      </c>
    </row>
    <row r="885" spans="1:10" ht="12.75" customHeight="1" x14ac:dyDescent="0.2">
      <c r="A885">
        <f>IF(ISNUMBER(SEARCH(Cover!$H$13,Table1[[#This Row],[School District]])),MAX($A$1:A884)+1,0)</f>
        <v>0</v>
      </c>
      <c r="B885" s="661" t="s">
        <v>1606</v>
      </c>
      <c r="C885" s="1599">
        <v>3025050026</v>
      </c>
      <c r="D885" s="664">
        <v>26</v>
      </c>
      <c r="E885" t="str">
        <f>IF(OR(Table1[[#This Row],[Type]]=0,Table1[[#This Row],[Type]]&gt;=40),"JA","SD")</f>
        <v>SD</v>
      </c>
      <c r="F885" t="s">
        <v>3239</v>
      </c>
      <c r="G885" s="661" t="s">
        <v>2912</v>
      </c>
      <c r="J885" s="653" t="str">
        <f>IFERROR(VLOOKUP(ROWS($J$2:J885),$A$2:$B$996,2,FALSE),"")</f>
        <v/>
      </c>
    </row>
    <row r="886" spans="1:10" ht="12.75" customHeight="1" x14ac:dyDescent="0.2">
      <c r="A886">
        <f>IF(ISNUMBER(SEARCH(Cover!$H$13,Table1[[#This Row],[School District]])),MAX($A$1:A885)+1,0)</f>
        <v>0</v>
      </c>
      <c r="B886" s="661" t="s">
        <v>1448</v>
      </c>
      <c r="C886" s="1599">
        <v>9010130004</v>
      </c>
      <c r="D886" s="664">
        <v>4</v>
      </c>
      <c r="E886" t="str">
        <f>IF(OR(Table1[[#This Row],[Type]]=0,Table1[[#This Row],[Type]]&gt;=40),"JA","SD")</f>
        <v>SD</v>
      </c>
      <c r="F886" t="s">
        <v>1851</v>
      </c>
      <c r="G886" s="661" t="s">
        <v>2913</v>
      </c>
      <c r="J886" s="653" t="str">
        <f>IFERROR(VLOOKUP(ROWS($J$2:J886),$A$2:$B$996,2,FALSE),"")</f>
        <v/>
      </c>
    </row>
    <row r="887" spans="1:10" x14ac:dyDescent="0.2">
      <c r="A887">
        <f>IF(ISNUMBER(SEARCH(Cover!$H$13,Table1[[#This Row],[School District]])),MAX($A$1:A886)+1,0)</f>
        <v>0</v>
      </c>
      <c r="B887" s="661" t="s">
        <v>1294</v>
      </c>
      <c r="C887" s="1599">
        <v>21028174026</v>
      </c>
      <c r="D887" s="664">
        <v>26</v>
      </c>
      <c r="E887" t="str">
        <f>IF(OR(Table1[[#This Row],[Type]]=0,Table1[[#This Row],[Type]]&gt;=40),"JA","SD")</f>
        <v>SD</v>
      </c>
      <c r="F887" t="s">
        <v>3240</v>
      </c>
      <c r="G887" s="661" t="s">
        <v>2914</v>
      </c>
      <c r="J887" s="653" t="str">
        <f>IFERROR(VLOOKUP(ROWS($J$2:J887),$A$2:$B$996,2,FALSE),"")</f>
        <v/>
      </c>
    </row>
    <row r="888" spans="1:10" ht="12.75" customHeight="1" x14ac:dyDescent="0.2">
      <c r="A888">
        <f>IF(ISNUMBER(SEARCH(Cover!$H$13,Table1[[#This Row],[School District]])),MAX($A$1:A887)+1,0)</f>
        <v>0</v>
      </c>
      <c r="B888" s="661" t="s">
        <v>2011</v>
      </c>
      <c r="C888" s="1599">
        <v>7016215017</v>
      </c>
      <c r="D888" s="664">
        <v>17</v>
      </c>
      <c r="E888" t="str">
        <f>IF(OR(Table1[[#This Row],[Type]]=0,Table1[[#This Row],[Type]]&gt;=40),"JA","SD")</f>
        <v>SD</v>
      </c>
      <c r="F888" t="s">
        <v>1766</v>
      </c>
      <c r="G888" s="661" t="s">
        <v>2915</v>
      </c>
      <c r="J888" s="653" t="str">
        <f>IFERROR(VLOOKUP(ROWS($J$2:J888),$A$2:$B$996,2,FALSE),"")</f>
        <v/>
      </c>
    </row>
    <row r="889" spans="1:10" ht="12.75" customHeight="1" x14ac:dyDescent="0.2">
      <c r="A889">
        <f>IF(ISNUMBER(SEARCH(Cover!$H$13,Table1[[#This Row],[School District]])),MAX($A$1:A888)+1,0)</f>
        <v>0</v>
      </c>
      <c r="B889" s="661" t="s">
        <v>1490</v>
      </c>
      <c r="C889" s="1599">
        <v>7016154002</v>
      </c>
      <c r="D889" s="664">
        <v>2</v>
      </c>
      <c r="E889" t="str">
        <f>IF(OR(Table1[[#This Row],[Type]]=0,Table1[[#This Row],[Type]]&gt;=40),"JA","SD")</f>
        <v>SD</v>
      </c>
      <c r="F889" t="s">
        <v>1766</v>
      </c>
      <c r="G889" s="661" t="s">
        <v>2916</v>
      </c>
      <c r="J889" s="653" t="str">
        <f>IFERROR(VLOOKUP(ROWS($J$2:J889),$A$2:$B$996,2,FALSE),"")</f>
        <v/>
      </c>
    </row>
    <row r="890" spans="1:10" ht="12.75" customHeight="1" x14ac:dyDescent="0.2">
      <c r="A890">
        <f>IF(ISNUMBER(SEARCH(Cover!$H$13,Table1[[#This Row],[School District]])),MAX($A$1:A889)+1,0)</f>
        <v>0</v>
      </c>
      <c r="B890" s="661" t="s">
        <v>1472</v>
      </c>
      <c r="C890" s="1599">
        <v>7016205017</v>
      </c>
      <c r="D890" s="664">
        <v>17</v>
      </c>
      <c r="E890" t="str">
        <f>IF(OR(Table1[[#This Row],[Type]]=0,Table1[[#This Row],[Type]]&gt;=40),"JA","SD")</f>
        <v>SD</v>
      </c>
      <c r="F890" t="s">
        <v>1766</v>
      </c>
      <c r="G890" s="661" t="s">
        <v>2917</v>
      </c>
      <c r="J890" s="653" t="str">
        <f>IFERROR(VLOOKUP(ROWS($J$2:J890),$A$2:$B$996,2,FALSE),"")</f>
        <v/>
      </c>
    </row>
    <row r="891" spans="1:10" ht="12.75" customHeight="1" x14ac:dyDescent="0.2">
      <c r="A891">
        <f>IF(ISNUMBER(SEARCH(Cover!$H$13,Table1[[#This Row],[School District]])),MAX($A$1:A890)+1,0)</f>
        <v>0</v>
      </c>
      <c r="B891" t="s">
        <v>1734</v>
      </c>
      <c r="C891" s="1599">
        <v>56099711045</v>
      </c>
      <c r="D891" s="664">
        <v>45</v>
      </c>
      <c r="E891" t="str">
        <f>IF(OR(Table1[[#This Row],[Type]]=0,Table1[[#This Row],[Type]]&gt;=40),"JA","SD")</f>
        <v>JA</v>
      </c>
      <c r="F891" t="s">
        <v>1793</v>
      </c>
      <c r="G891" s="661" t="s">
        <v>2918</v>
      </c>
      <c r="J891" s="653" t="str">
        <f>IFERROR(VLOOKUP(ROWS($J$2:J891),$A$2:$B$996,2,FALSE),"")</f>
        <v/>
      </c>
    </row>
    <row r="892" spans="1:10" ht="12.75" customHeight="1" x14ac:dyDescent="0.2">
      <c r="A892">
        <f>IF(ISNUMBER(SEARCH(Cover!$H$13,Table1[[#This Row],[School District]])),MAX($A$1:A891)+1,0)</f>
        <v>0</v>
      </c>
      <c r="B892" s="661" t="s">
        <v>1450</v>
      </c>
      <c r="C892" s="1599">
        <v>9010007026</v>
      </c>
      <c r="D892" s="664">
        <v>26</v>
      </c>
      <c r="E892" t="str">
        <f>IF(OR(Table1[[#This Row],[Type]]=0,Table1[[#This Row],[Type]]&gt;=40),"JA","SD")</f>
        <v>SD</v>
      </c>
      <c r="F892" t="s">
        <v>1851</v>
      </c>
      <c r="G892" s="661" t="s">
        <v>2919</v>
      </c>
      <c r="J892" s="653" t="str">
        <f>IFERROR(VLOOKUP(ROWS($J$2:J892),$A$2:$B$996,2,FALSE),"")</f>
        <v/>
      </c>
    </row>
    <row r="893" spans="1:10" ht="12.75" customHeight="1" x14ac:dyDescent="0.2">
      <c r="A893">
        <f>IF(ISNUMBER(SEARCH(Cover!$H$13,Table1[[#This Row],[School District]])),MAX($A$1:A892)+1,0)</f>
        <v>0</v>
      </c>
      <c r="B893" s="661" t="s">
        <v>1141</v>
      </c>
      <c r="C893" s="1599">
        <v>35050079004</v>
      </c>
      <c r="D893" s="664">
        <v>4</v>
      </c>
      <c r="E893" t="str">
        <f>IF(OR(Table1[[#This Row],[Type]]=0,Table1[[#This Row],[Type]]&gt;=40),"JA","SD")</f>
        <v>SD</v>
      </c>
      <c r="F893" t="s">
        <v>3165</v>
      </c>
      <c r="G893" s="661" t="s">
        <v>2920</v>
      </c>
      <c r="J893" s="653" t="str">
        <f>IFERROR(VLOOKUP(ROWS($J$2:J893),$A$2:$B$996,2,FALSE),"")</f>
        <v/>
      </c>
    </row>
    <row r="894" spans="1:10" ht="12.75" customHeight="1" x14ac:dyDescent="0.2">
      <c r="A894">
        <f>IF(ISNUMBER(SEARCH(Cover!$H$13,Table1[[#This Row],[School District]])),MAX($A$1:A893)+1,0)</f>
        <v>0</v>
      </c>
      <c r="B894" s="661" t="s">
        <v>2012</v>
      </c>
      <c r="C894" s="1599">
        <v>5016211017</v>
      </c>
      <c r="D894" s="664">
        <v>17</v>
      </c>
      <c r="E894" t="str">
        <f>IF(OR(Table1[[#This Row],[Type]]=0,Table1[[#This Row],[Type]]&gt;=40),"JA","SD")</f>
        <v>SD</v>
      </c>
      <c r="F894" t="s">
        <v>1766</v>
      </c>
      <c r="G894" s="661" t="s">
        <v>2921</v>
      </c>
      <c r="J894" s="653" t="str">
        <f>IFERROR(VLOOKUP(ROWS($J$2:J894),$A$2:$B$996,2,FALSE),"")</f>
        <v/>
      </c>
    </row>
    <row r="895" spans="1:10" ht="12.75" customHeight="1" x14ac:dyDescent="0.2">
      <c r="A895">
        <f>IF(ISNUMBER(SEARCH(Cover!$H$13,Table1[[#This Row],[School District]])),MAX($A$1:A894)+1,0)</f>
        <v>0</v>
      </c>
      <c r="B895" s="661" t="s">
        <v>1556</v>
      </c>
      <c r="C895" s="1599">
        <v>5016214017</v>
      </c>
      <c r="D895" s="664">
        <v>17</v>
      </c>
      <c r="E895" t="str">
        <f>IF(OR(Table1[[#This Row],[Type]]=0,Table1[[#This Row],[Type]]&gt;=40),"JA","SD")</f>
        <v>SD</v>
      </c>
      <c r="F895" t="s">
        <v>1766</v>
      </c>
      <c r="G895" s="661" t="s">
        <v>2922</v>
      </c>
      <c r="J895" s="653" t="str">
        <f>IFERROR(VLOOKUP(ROWS($J$2:J895),$A$2:$B$996,2,FALSE),"")</f>
        <v/>
      </c>
    </row>
    <row r="896" spans="1:10" ht="12.75" customHeight="1" x14ac:dyDescent="0.2">
      <c r="A896">
        <f>IF(ISNUMBER(SEARCH(Cover!$H$13,Table1[[#This Row],[School District]])),MAX($A$1:A895)+1,0)</f>
        <v>0</v>
      </c>
      <c r="B896" s="661" t="s">
        <v>974</v>
      </c>
      <c r="C896" s="1599">
        <v>53090702026</v>
      </c>
      <c r="D896" s="664">
        <v>26</v>
      </c>
      <c r="E896" t="str">
        <f>IF(OR(Table1[[#This Row],[Type]]=0,Table1[[#This Row],[Type]]&gt;=40),"JA","SD")</f>
        <v>SD</v>
      </c>
      <c r="F896" t="s">
        <v>1847</v>
      </c>
      <c r="G896" s="661" t="s">
        <v>2923</v>
      </c>
      <c r="J896" s="653" t="str">
        <f>IFERROR(VLOOKUP(ROWS($J$2:J896),$A$2:$B$996,2,FALSE),"")</f>
        <v/>
      </c>
    </row>
    <row r="897" spans="1:10" x14ac:dyDescent="0.2">
      <c r="A897">
        <f>IF(ISNUMBER(SEARCH(Cover!$H$13,Table1[[#This Row],[School District]])),MAX($A$1:A896)+1,0)</f>
        <v>0</v>
      </c>
      <c r="B897" s="661" t="s">
        <v>999</v>
      </c>
      <c r="C897" s="1599">
        <v>51084001026</v>
      </c>
      <c r="D897" s="664">
        <v>26</v>
      </c>
      <c r="E897" t="str">
        <f>IF(OR(Table1[[#This Row],[Type]]=0,Table1[[#This Row],[Type]]&gt;=40),"JA","SD")</f>
        <v>SD</v>
      </c>
      <c r="F897" t="s">
        <v>1788</v>
      </c>
      <c r="G897" s="661" t="s">
        <v>2924</v>
      </c>
      <c r="J897" s="653" t="str">
        <f>IFERROR(VLOOKUP(ROWS($J$2:J897),$A$2:$B$996,2,FALSE),"")</f>
        <v/>
      </c>
    </row>
    <row r="898" spans="1:10" x14ac:dyDescent="0.2">
      <c r="A898">
        <f>IF(ISNUMBER(SEARCH(Cover!$H$13,Table1[[#This Row],[School District]])),MAX($A$1:A897)+1,0)</f>
        <v>0</v>
      </c>
      <c r="B898" s="661" t="s">
        <v>2013</v>
      </c>
      <c r="C898" s="1599" t="s">
        <v>928</v>
      </c>
      <c r="D898" s="664">
        <v>26</v>
      </c>
      <c r="E898" t="str">
        <f>IF(OR(Table1[[#This Row],[Type]]=0,Table1[[#This Row],[Type]]&gt;=40),"JA","SD")</f>
        <v>SD</v>
      </c>
      <c r="F898" t="s">
        <v>3241</v>
      </c>
      <c r="G898" s="661" t="s">
        <v>2925</v>
      </c>
      <c r="J898" s="653" t="str">
        <f>IFERROR(VLOOKUP(ROWS($J$2:J898),$A$2:$B$996,2,FALSE),"")</f>
        <v/>
      </c>
    </row>
    <row r="899" spans="1:10" ht="12.75" customHeight="1" x14ac:dyDescent="0.2">
      <c r="A899">
        <f>IF(ISNUMBER(SEARCH(Cover!$H$13,Table1[[#This Row],[School District]])),MAX($A$1:A898)+1,0)</f>
        <v>0</v>
      </c>
      <c r="B899" s="661" t="s">
        <v>1354</v>
      </c>
      <c r="C899" s="1599">
        <v>17064003026</v>
      </c>
      <c r="D899" s="664">
        <v>26</v>
      </c>
      <c r="E899" t="str">
        <f>IF(OR(Table1[[#This Row],[Type]]=0,Table1[[#This Row],[Type]]&gt;=40),"JA","SD")</f>
        <v>SD</v>
      </c>
      <c r="F899" t="s">
        <v>1801</v>
      </c>
      <c r="G899" s="661" t="s">
        <v>2926</v>
      </c>
      <c r="J899" s="653" t="str">
        <f>IFERROR(VLOOKUP(ROWS($J$2:J899),$A$2:$B$996,2,FALSE),"")</f>
        <v/>
      </c>
    </row>
    <row r="900" spans="1:10" ht="12.75" customHeight="1" x14ac:dyDescent="0.2">
      <c r="A900">
        <f>IF(ISNUMBER(SEARCH(Cover!$H$13,Table1[[#This Row],[School District]])),MAX($A$1:A899)+1,0)</f>
        <v>0</v>
      </c>
      <c r="B900" s="661" t="s">
        <v>1103</v>
      </c>
      <c r="C900" s="1599">
        <v>41057002026</v>
      </c>
      <c r="D900" s="664">
        <v>26</v>
      </c>
      <c r="E900" t="str">
        <f>IF(OR(Table1[[#This Row],[Type]]=0,Table1[[#This Row],[Type]]&gt;=40),"JA","SD")</f>
        <v>SD</v>
      </c>
      <c r="F900" t="s">
        <v>1774</v>
      </c>
      <c r="G900" s="661" t="s">
        <v>2927</v>
      </c>
      <c r="J900" s="653" t="str">
        <f>IFERROR(VLOOKUP(ROWS($J$2:J900),$A$2:$B$996,2,FALSE),"")</f>
        <v/>
      </c>
    </row>
    <row r="901" spans="1:10" x14ac:dyDescent="0.2">
      <c r="A901">
        <f>IF(ISNUMBER(SEARCH(Cover!$H$13,Table1[[#This Row],[School District]])),MAX($A$1:A900)+1,0)</f>
        <v>0</v>
      </c>
      <c r="B901" s="661" t="s">
        <v>2014</v>
      </c>
      <c r="C901" s="1599">
        <v>30039176026</v>
      </c>
      <c r="D901" s="664">
        <v>26</v>
      </c>
      <c r="E901" t="str">
        <f>IF(OR(Table1[[#This Row],[Type]]=0,Table1[[#This Row],[Type]]&gt;=40),"JA","SD")</f>
        <v>SD</v>
      </c>
      <c r="F901" t="s">
        <v>1824</v>
      </c>
      <c r="G901" s="661" t="s">
        <v>2928</v>
      </c>
      <c r="J901" s="653" t="str">
        <f>IFERROR(VLOOKUP(ROWS($J$2:J901),$A$2:$B$996,2,FALSE),"")</f>
        <v/>
      </c>
    </row>
    <row r="902" spans="1:10" x14ac:dyDescent="0.2">
      <c r="A902">
        <f>IF(ISNUMBER(SEARCH(Cover!$H$13,Table1[[#This Row],[School District]])),MAX($A$1:A901)+1,0)</f>
        <v>0</v>
      </c>
      <c r="B902" t="s">
        <v>1676</v>
      </c>
      <c r="C902" s="1599">
        <v>17064007061</v>
      </c>
      <c r="D902" s="664">
        <v>61</v>
      </c>
      <c r="E902" t="str">
        <f>IF(OR(Table1[[#This Row],[Type]]=0,Table1[[#This Row],[Type]]&gt;=40),"JA","SD")</f>
        <v>JA</v>
      </c>
      <c r="F902" t="s">
        <v>1801</v>
      </c>
      <c r="G902" s="661" t="s">
        <v>2929</v>
      </c>
      <c r="J902" s="653" t="str">
        <f>IFERROR(VLOOKUP(ROWS($J$2:J902),$A$2:$B$996,2,FALSE),"")</f>
        <v/>
      </c>
    </row>
    <row r="903" spans="1:10" ht="12.75" customHeight="1" x14ac:dyDescent="0.2">
      <c r="A903">
        <f>IF(ISNUMBER(SEARCH(Cover!$H$13,Table1[[#This Row],[School District]])),MAX($A$1:A902)+1,0)</f>
        <v>0</v>
      </c>
      <c r="B903" t="s">
        <v>1751</v>
      </c>
      <c r="C903" s="1599">
        <v>30039186061</v>
      </c>
      <c r="D903" s="664">
        <v>61</v>
      </c>
      <c r="E903" t="str">
        <f>IF(OR(Table1[[#This Row],[Type]]=0,Table1[[#This Row],[Type]]&gt;=40),"JA","SD")</f>
        <v>JA</v>
      </c>
      <c r="F903" t="s">
        <v>3242</v>
      </c>
      <c r="G903" s="661" t="s">
        <v>2930</v>
      </c>
      <c r="J903" s="653" t="str">
        <f>IFERROR(VLOOKUP(ROWS($J$2:J903),$A$2:$B$996,2,FALSE),"")</f>
        <v/>
      </c>
    </row>
    <row r="904" spans="1:10" ht="12.75" customHeight="1" x14ac:dyDescent="0.2">
      <c r="A904">
        <f>IF(ISNUMBER(SEARCH(Cover!$H$13,Table1[[#This Row],[School District]])),MAX($A$1:A903)+1,0)</f>
        <v>0</v>
      </c>
      <c r="B904" s="661" t="s">
        <v>1623</v>
      </c>
      <c r="C904" s="1599">
        <v>1069027026</v>
      </c>
      <c r="D904" s="664">
        <v>26</v>
      </c>
      <c r="E904" t="str">
        <f>IF(OR(Table1[[#This Row],[Type]]=0,Table1[[#This Row],[Type]]&gt;=40),"JA","SD")</f>
        <v>SD</v>
      </c>
      <c r="F904" t="s">
        <v>3243</v>
      </c>
      <c r="G904" s="661" t="s">
        <v>2931</v>
      </c>
      <c r="J904" s="653" t="str">
        <f>IFERROR(VLOOKUP(ROWS($J$2:J904),$A$2:$B$996,2,FALSE),"")</f>
        <v/>
      </c>
    </row>
    <row r="905" spans="1:10" ht="12.75" customHeight="1" x14ac:dyDescent="0.2">
      <c r="A905">
        <f>IF(ISNUMBER(SEARCH(Cover!$H$13,Table1[[#This Row],[School District]])),MAX($A$1:A904)+1,0)</f>
        <v>0</v>
      </c>
      <c r="B905" s="661" t="s">
        <v>2015</v>
      </c>
      <c r="C905" s="1599" t="s">
        <v>918</v>
      </c>
      <c r="D905" s="664">
        <v>4</v>
      </c>
      <c r="E905" t="str">
        <f>IF(OR(Table1[[#This Row],[Type]]=0,Table1[[#This Row],[Type]]&gt;=40),"JA","SD")</f>
        <v>SD</v>
      </c>
      <c r="F905" t="s">
        <v>1793</v>
      </c>
      <c r="G905" s="661" t="s">
        <v>2932</v>
      </c>
      <c r="J905" s="653" t="str">
        <f>IFERROR(VLOOKUP(ROWS($J$2:J905),$A$2:$B$996,2,FALSE),"")</f>
        <v/>
      </c>
    </row>
    <row r="906" spans="1:10" ht="12.75" customHeight="1" x14ac:dyDescent="0.2">
      <c r="A906">
        <f>IF(ISNUMBER(SEARCH(Cover!$H$13,Table1[[#This Row],[School District]])),MAX($A$1:A905)+1,0)</f>
        <v>0</v>
      </c>
      <c r="B906" s="661" t="s">
        <v>1434</v>
      </c>
      <c r="C906" s="1599">
        <v>11021301026</v>
      </c>
      <c r="D906" s="664">
        <v>26</v>
      </c>
      <c r="E906" t="str">
        <f>IF(OR(Table1[[#This Row],[Type]]=0,Table1[[#This Row],[Type]]&gt;=40),"JA","SD")</f>
        <v>SD</v>
      </c>
      <c r="F906" t="s">
        <v>3244</v>
      </c>
      <c r="G906" s="661" t="s">
        <v>2933</v>
      </c>
      <c r="J906" s="653" t="str">
        <f>IFERROR(VLOOKUP(ROWS($J$2:J906),$A$2:$B$996,2,FALSE),"")</f>
        <v/>
      </c>
    </row>
    <row r="907" spans="1:10" x14ac:dyDescent="0.2">
      <c r="A907">
        <f>IF(ISNUMBER(SEARCH(Cover!$H$13,Table1[[#This Row],[School District]])),MAX($A$1:A906)+1,0)</f>
        <v>0</v>
      </c>
      <c r="B907" t="s">
        <v>1663</v>
      </c>
      <c r="C907" s="1599">
        <v>12000000046</v>
      </c>
      <c r="D907" s="664">
        <v>46</v>
      </c>
      <c r="E907" t="str">
        <f>IF(OR(Table1[[#This Row],[Type]]=0,Table1[[#This Row],[Type]]&gt;=40),"JA","SD")</f>
        <v>JA</v>
      </c>
      <c r="F907" t="s">
        <v>1919</v>
      </c>
      <c r="G907" s="661" t="s">
        <v>2934</v>
      </c>
      <c r="J907" s="653" t="str">
        <f>IFERROR(VLOOKUP(ROWS($J$2:J907),$A$2:$B$996,2,FALSE),"")</f>
        <v/>
      </c>
    </row>
    <row r="908" spans="1:10" ht="12.75" customHeight="1" x14ac:dyDescent="0.2">
      <c r="A908">
        <f>IF(ISNUMBER(SEARCH(Cover!$H$13,Table1[[#This Row],[School District]])),MAX($A$1:A907)+1,0)</f>
        <v>0</v>
      </c>
      <c r="B908" t="s">
        <v>1637</v>
      </c>
      <c r="C908" s="1599">
        <v>1009700045</v>
      </c>
      <c r="D908" s="664">
        <v>45</v>
      </c>
      <c r="E908" t="str">
        <f>IF(OR(Table1[[#This Row],[Type]]=0,Table1[[#This Row],[Type]]&gt;=40),"JA","SD")</f>
        <v>JA</v>
      </c>
      <c r="F908" t="s">
        <v>3286</v>
      </c>
      <c r="G908" s="661" t="s">
        <v>2935</v>
      </c>
      <c r="J908" s="653" t="str">
        <f>IFERROR(VLOOKUP(ROWS($J$2:J908),$A$2:$B$996,2,FALSE),"")</f>
        <v/>
      </c>
    </row>
    <row r="909" spans="1:10" ht="12.75" customHeight="1" x14ac:dyDescent="0.2">
      <c r="A909">
        <f>IF(ISNUMBER(SEARCH(Cover!$H$13,Table1[[#This Row],[School District]])),MAX($A$1:A908)+1,0)</f>
        <v>0</v>
      </c>
      <c r="B909" s="661" t="s">
        <v>2016</v>
      </c>
      <c r="C909" s="1599">
        <v>34049113017</v>
      </c>
      <c r="D909" s="664">
        <v>17</v>
      </c>
      <c r="E909" t="str">
        <f>IF(OR(Table1[[#This Row],[Type]]=0,Table1[[#This Row],[Type]]&gt;=40),"JA","SD")</f>
        <v>SD</v>
      </c>
      <c r="F909" t="s">
        <v>1765</v>
      </c>
      <c r="G909" s="661" t="s">
        <v>2936</v>
      </c>
      <c r="J909" s="653" t="str">
        <f>IFERROR(VLOOKUP(ROWS($J$2:J909),$A$2:$B$996,2,FALSE),"")</f>
        <v/>
      </c>
    </row>
    <row r="910" spans="1:10" ht="12.75" customHeight="1" x14ac:dyDescent="0.2">
      <c r="A910">
        <f>IF(ISNUMBER(SEARCH(Cover!$H$13,Table1[[#This Row],[School District]])),MAX($A$1:A909)+1,0)</f>
        <v>0</v>
      </c>
      <c r="B910" s="661" t="s">
        <v>1546</v>
      </c>
      <c r="C910" s="1599">
        <v>6016086002</v>
      </c>
      <c r="D910" s="664">
        <v>2</v>
      </c>
      <c r="E910" t="str">
        <f>IF(OR(Table1[[#This Row],[Type]]=0,Table1[[#This Row],[Type]]&gt;=40),"JA","SD")</f>
        <v>SD</v>
      </c>
      <c r="F910" t="s">
        <v>1766</v>
      </c>
      <c r="G910" s="661" t="s">
        <v>2937</v>
      </c>
      <c r="J910" s="653" t="str">
        <f>IFERROR(VLOOKUP(ROWS($J$2:J910),$A$2:$B$996,2,FALSE),"")</f>
        <v/>
      </c>
    </row>
    <row r="911" spans="1:10" x14ac:dyDescent="0.2">
      <c r="A911">
        <f>IF(ISNUMBER(SEARCH(Cover!$H$13,Table1[[#This Row],[School District]])),MAX($A$1:A910)+1,0)</f>
        <v>0</v>
      </c>
      <c r="B911" s="661" t="s">
        <v>956</v>
      </c>
      <c r="C911" s="1599">
        <v>56099081002</v>
      </c>
      <c r="D911" s="664">
        <v>2</v>
      </c>
      <c r="E911" t="str">
        <f>IF(OR(Table1[[#This Row],[Type]]=0,Table1[[#This Row],[Type]]&gt;=40),"JA","SD")</f>
        <v>SD</v>
      </c>
      <c r="F911" t="s">
        <v>1793</v>
      </c>
      <c r="G911" s="661" t="s">
        <v>2938</v>
      </c>
      <c r="J911" s="653" t="str">
        <f>IFERROR(VLOOKUP(ROWS($J$2:J911),$A$2:$B$996,2,FALSE),"")</f>
        <v/>
      </c>
    </row>
    <row r="912" spans="1:10" ht="12.75" customHeight="1" x14ac:dyDescent="0.2">
      <c r="A912">
        <f>IF(ISNUMBER(SEARCH(Cover!$H$13,Table1[[#This Row],[School District]])),MAX($A$1:A911)+1,0)</f>
        <v>0</v>
      </c>
      <c r="B912" s="661" t="s">
        <v>1189</v>
      </c>
      <c r="C912" s="1599">
        <v>33094304026</v>
      </c>
      <c r="D912" s="664">
        <v>26</v>
      </c>
      <c r="E912" t="str">
        <f>IF(OR(Table1[[#This Row],[Type]]=0,Table1[[#This Row],[Type]]&gt;=40),"JA","SD")</f>
        <v>SD</v>
      </c>
      <c r="F912" t="s">
        <v>1878</v>
      </c>
      <c r="G912" s="661" t="s">
        <v>2939</v>
      </c>
      <c r="J912" s="653" t="str">
        <f>IFERROR(VLOOKUP(ROWS($J$2:J912),$A$2:$B$996,2,FALSE),"")</f>
        <v/>
      </c>
    </row>
    <row r="913" spans="1:10" ht="12.75" customHeight="1" x14ac:dyDescent="0.2">
      <c r="A913">
        <f>IF(ISNUMBER(SEARCH(Cover!$H$13,Table1[[#This Row],[School District]])),MAX($A$1:A912)+1,0)</f>
        <v>0</v>
      </c>
      <c r="B913" t="s">
        <v>1720</v>
      </c>
      <c r="C913" s="1599">
        <v>49081030041</v>
      </c>
      <c r="D913" s="664">
        <v>41</v>
      </c>
      <c r="E913" t="str">
        <f>IF(OR(Table1[[#This Row],[Type]]=0,Table1[[#This Row],[Type]]&gt;=40),"JA","SD")</f>
        <v>JA</v>
      </c>
      <c r="F913" t="s">
        <v>1800</v>
      </c>
      <c r="G913" s="661" t="s">
        <v>2940</v>
      </c>
      <c r="J913" s="653" t="str">
        <f>IFERROR(VLOOKUP(ROWS($J$2:J913),$A$2:$B$996,2,FALSE),"")</f>
        <v/>
      </c>
    </row>
    <row r="914" spans="1:10" x14ac:dyDescent="0.2">
      <c r="A914">
        <f>IF(ISNUMBER(SEARCH(Cover!$H$13,Table1[[#This Row],[School District]])),MAX($A$1:A913)+1,0)</f>
        <v>0</v>
      </c>
      <c r="B914" s="661" t="s">
        <v>1033</v>
      </c>
      <c r="C914" s="1599">
        <v>49081030017</v>
      </c>
      <c r="D914" s="664">
        <v>17</v>
      </c>
      <c r="E914" t="str">
        <f>IF(OR(Table1[[#This Row],[Type]]=0,Table1[[#This Row],[Type]]&gt;=40),"JA","SD")</f>
        <v>SD</v>
      </c>
      <c r="F914" t="s">
        <v>3287</v>
      </c>
      <c r="G914" s="661" t="s">
        <v>2941</v>
      </c>
      <c r="J914" s="653" t="str">
        <f>IFERROR(VLOOKUP(ROWS($J$2:J914),$A$2:$B$996,2,FALSE),"")</f>
        <v/>
      </c>
    </row>
    <row r="915" spans="1:10" x14ac:dyDescent="0.2">
      <c r="A915">
        <f>IF(ISNUMBER(SEARCH(Cover!$H$13,Table1[[#This Row],[School District]])),MAX($A$1:A914)+1,0)</f>
        <v>0</v>
      </c>
      <c r="B915" s="661" t="s">
        <v>1232</v>
      </c>
      <c r="C915" s="1599">
        <v>30039140004</v>
      </c>
      <c r="D915" s="664">
        <v>4</v>
      </c>
      <c r="E915" t="str">
        <f>IF(OR(Table1[[#This Row],[Type]]=0,Table1[[#This Row],[Type]]&gt;=40),"JA","SD")</f>
        <v>SD</v>
      </c>
      <c r="F915" t="s">
        <v>1824</v>
      </c>
      <c r="G915" s="661" t="s">
        <v>2942</v>
      </c>
      <c r="J915" s="653" t="str">
        <f>IFERROR(VLOOKUP(ROWS($J$2:J915),$A$2:$B$996,2,FALSE),"")</f>
        <v/>
      </c>
    </row>
    <row r="916" spans="1:10" ht="12.75" customHeight="1" x14ac:dyDescent="0.2">
      <c r="A916">
        <f>IF(ISNUMBER(SEARCH(Cover!$H$13,Table1[[#This Row],[School District]])),MAX($A$1:A915)+1,0)</f>
        <v>0</v>
      </c>
      <c r="B916" s="661" t="s">
        <v>1449</v>
      </c>
      <c r="C916" s="1599">
        <v>9010116022</v>
      </c>
      <c r="D916" s="664">
        <v>22</v>
      </c>
      <c r="E916" t="str">
        <f>IF(OR(Table1[[#This Row],[Type]]=0,Table1[[#This Row],[Type]]&gt;=40),"JA","SD")</f>
        <v>SD</v>
      </c>
      <c r="F916" t="s">
        <v>1851</v>
      </c>
      <c r="G916" s="661" t="s">
        <v>2943</v>
      </c>
      <c r="J916" s="653" t="str">
        <f>IFERROR(VLOOKUP(ROWS($J$2:J916),$A$2:$B$996,2,FALSE),"")</f>
        <v/>
      </c>
    </row>
    <row r="917" spans="1:10" ht="12.75" customHeight="1" x14ac:dyDescent="0.2">
      <c r="A917">
        <f>IF(ISNUMBER(SEARCH(Cover!$H$13,Table1[[#This Row],[School District]])),MAX($A$1:A916)+1,0)</f>
        <v>0</v>
      </c>
      <c r="B917" s="661" t="s">
        <v>2017</v>
      </c>
      <c r="C917" s="1599">
        <v>26029002026</v>
      </c>
      <c r="D917" s="664">
        <v>26</v>
      </c>
      <c r="E917" t="str">
        <f>IF(OR(Table1[[#This Row],[Type]]=0,Table1[[#This Row],[Type]]&gt;=40),"JA","SD")</f>
        <v>SD</v>
      </c>
      <c r="F917" t="s">
        <v>1786</v>
      </c>
      <c r="G917" s="661" t="s">
        <v>2944</v>
      </c>
      <c r="J917" s="653" t="str">
        <f>IFERROR(VLOOKUP(ROWS($J$2:J917),$A$2:$B$996,2,FALSE),"")</f>
        <v/>
      </c>
    </row>
    <row r="918" spans="1:10" ht="12.75" customHeight="1" x14ac:dyDescent="0.2">
      <c r="A918">
        <f>IF(ISNUMBER(SEARCH(Cover!$H$13,Table1[[#This Row],[School District]])),MAX($A$1:A917)+1,0)</f>
        <v>0</v>
      </c>
      <c r="B918" t="s">
        <v>2018</v>
      </c>
      <c r="C918" s="1599">
        <v>31000000046</v>
      </c>
      <c r="D918" s="664">
        <v>46</v>
      </c>
      <c r="E918" t="str">
        <f>IF(OR(Table1[[#This Row],[Type]]=0,Table1[[#This Row],[Type]]&gt;=40),"JA","SD")</f>
        <v>JA</v>
      </c>
      <c r="F918" t="s">
        <v>1789</v>
      </c>
      <c r="G918" s="661" t="s">
        <v>2945</v>
      </c>
      <c r="J918" s="653" t="str">
        <f>IFERROR(VLOOKUP(ROWS($J$2:J918),$A$2:$B$996,2,FALSE),"")</f>
        <v/>
      </c>
    </row>
    <row r="919" spans="1:10" ht="12.75" customHeight="1" x14ac:dyDescent="0.2">
      <c r="A919">
        <f>IF(ISNUMBER(SEARCH(Cover!$H$13,Table1[[#This Row],[School District]])),MAX($A$1:A918)+1,0)</f>
        <v>0</v>
      </c>
      <c r="B919" s="661" t="s">
        <v>900</v>
      </c>
      <c r="C919" s="1599" t="s">
        <v>901</v>
      </c>
      <c r="D919" s="664">
        <v>26</v>
      </c>
      <c r="E919" t="str">
        <f>IF(OR(Table1[[#This Row],[Type]]=0,Table1[[#This Row],[Type]]&gt;=40),"JA","SD")</f>
        <v>SD</v>
      </c>
      <c r="F919" t="s">
        <v>1793</v>
      </c>
      <c r="G919" s="661" t="s">
        <v>2946</v>
      </c>
      <c r="J919" s="653" t="str">
        <f>IFERROR(VLOOKUP(ROWS($J$2:J919),$A$2:$B$996,2,FALSE),"")</f>
        <v/>
      </c>
    </row>
    <row r="920" spans="1:10" ht="12.75" customHeight="1" x14ac:dyDescent="0.2">
      <c r="A920">
        <f>IF(ISNUMBER(SEARCH(Cover!$H$13,Table1[[#This Row],[School District]])),MAX($A$1:A919)+1,0)</f>
        <v>0</v>
      </c>
      <c r="B920" s="661" t="s">
        <v>1078</v>
      </c>
      <c r="C920" s="1599">
        <v>45067003026</v>
      </c>
      <c r="D920" s="664">
        <v>26</v>
      </c>
      <c r="E920" t="str">
        <f>IF(OR(Table1[[#This Row],[Type]]=0,Table1[[#This Row],[Type]]&gt;=40),"JA","SD")</f>
        <v>SD</v>
      </c>
      <c r="F920" t="s">
        <v>1826</v>
      </c>
      <c r="G920" s="661" t="s">
        <v>2947</v>
      </c>
      <c r="J920" s="653" t="str">
        <f>IFERROR(VLOOKUP(ROWS($J$2:J920),$A$2:$B$996,2,FALSE),"")</f>
        <v/>
      </c>
    </row>
    <row r="921" spans="1:10" ht="12.75" customHeight="1" x14ac:dyDescent="0.2">
      <c r="A921">
        <f>IF(ISNUMBER(SEARCH(Cover!$H$13,Table1[[#This Row],[School District]])),MAX($A$1:A920)+1,0)</f>
        <v>0</v>
      </c>
      <c r="B921" s="661" t="s">
        <v>1603</v>
      </c>
      <c r="C921" s="1599">
        <v>3026203026</v>
      </c>
      <c r="D921" s="664">
        <v>26</v>
      </c>
      <c r="E921" t="str">
        <f>IF(OR(Table1[[#This Row],[Type]]=0,Table1[[#This Row],[Type]]&gt;=40),"JA","SD")</f>
        <v>SD</v>
      </c>
      <c r="F921" t="s">
        <v>3215</v>
      </c>
      <c r="G921" s="661" t="s">
        <v>2948</v>
      </c>
      <c r="J921" s="653" t="str">
        <f>IFERROR(VLOOKUP(ROWS($J$2:J921),$A$2:$B$996,2,FALSE),"")</f>
        <v/>
      </c>
    </row>
    <row r="922" spans="1:10" x14ac:dyDescent="0.2">
      <c r="A922">
        <f>IF(ISNUMBER(SEARCH(Cover!$H$13,Table1[[#This Row],[School District]])),MAX($A$1:A921)+1,0)</f>
        <v>0</v>
      </c>
      <c r="B922" s="661" t="s">
        <v>1102</v>
      </c>
      <c r="C922" s="1599">
        <v>41057003026</v>
      </c>
      <c r="D922" s="664">
        <v>26</v>
      </c>
      <c r="E922" t="str">
        <f>IF(OR(Table1[[#This Row],[Type]]=0,Table1[[#This Row],[Type]]&gt;=40),"JA","SD")</f>
        <v>SD</v>
      </c>
      <c r="F922" t="s">
        <v>1774</v>
      </c>
      <c r="G922" s="661" t="s">
        <v>2949</v>
      </c>
      <c r="J922" s="653" t="str">
        <f>IFERROR(VLOOKUP(ROWS($J$2:J922),$A$2:$B$996,2,FALSE),"")</f>
        <v/>
      </c>
    </row>
    <row r="923" spans="1:10" ht="12.75" customHeight="1" x14ac:dyDescent="0.2">
      <c r="A923">
        <f>IF(ISNUMBER(SEARCH(Cover!$H$13,Table1[[#This Row],[School District]])),MAX($A$1:A922)+1,0)</f>
        <v>0</v>
      </c>
      <c r="B923" t="s">
        <v>1731</v>
      </c>
      <c r="C923" s="1599">
        <v>54092801060</v>
      </c>
      <c r="D923" s="664">
        <v>60</v>
      </c>
      <c r="E923" t="str">
        <f>IF(OR(Table1[[#This Row],[Type]]=0,Table1[[#This Row],[Type]]&gt;=40),"JA","SD")</f>
        <v>JA</v>
      </c>
      <c r="F923" t="s">
        <v>1783</v>
      </c>
      <c r="G923" s="661" t="s">
        <v>2950</v>
      </c>
      <c r="J923" s="653" t="str">
        <f>IFERROR(VLOOKUP(ROWS($J$2:J923),$A$2:$B$996,2,FALSE),"")</f>
        <v/>
      </c>
    </row>
    <row r="924" spans="1:10" ht="12.75" customHeight="1" x14ac:dyDescent="0.2">
      <c r="A924">
        <f>IF(ISNUMBER(SEARCH(Cover!$H$13,Table1[[#This Row],[School District]])),MAX($A$1:A923)+1,0)</f>
        <v>0</v>
      </c>
      <c r="B924" t="s">
        <v>1729</v>
      </c>
      <c r="C924" s="1599">
        <v>54092740045</v>
      </c>
      <c r="D924" s="664">
        <v>45</v>
      </c>
      <c r="E924" t="str">
        <f>IF(OR(Table1[[#This Row],[Type]]=0,Table1[[#This Row],[Type]]&gt;=40),"JA","SD")</f>
        <v>JA</v>
      </c>
      <c r="F924" t="s">
        <v>1783</v>
      </c>
      <c r="G924" s="661" t="s">
        <v>2951</v>
      </c>
      <c r="J924" s="653" t="str">
        <f>IFERROR(VLOOKUP(ROWS($J$2:J924),$A$2:$B$996,2,FALSE),"")</f>
        <v/>
      </c>
    </row>
    <row r="925" spans="1:10" ht="12.75" customHeight="1" x14ac:dyDescent="0.2">
      <c r="A925">
        <f>IF(ISNUMBER(SEARCH(Cover!$H$13,Table1[[#This Row],[School District]])),MAX($A$1:A924)+1,0)</f>
        <v>0</v>
      </c>
      <c r="B925" s="661" t="s">
        <v>1287</v>
      </c>
      <c r="C925" s="1599">
        <v>21044133017</v>
      </c>
      <c r="D925" s="664">
        <v>17</v>
      </c>
      <c r="E925" t="str">
        <f>IF(OR(Table1[[#This Row],[Type]]=0,Table1[[#This Row],[Type]]&gt;=40),"JA","SD")</f>
        <v>SD</v>
      </c>
      <c r="F925" t="s">
        <v>3245</v>
      </c>
      <c r="G925" s="661" t="s">
        <v>2952</v>
      </c>
      <c r="J925" s="653" t="str">
        <f>IFERROR(VLOOKUP(ROWS($J$2:J925),$A$2:$B$996,2,FALSE),"")</f>
        <v/>
      </c>
    </row>
    <row r="926" spans="1:10" ht="12.75" customHeight="1" x14ac:dyDescent="0.2">
      <c r="A926">
        <f>IF(ISNUMBER(SEARCH(Cover!$H$13,Table1[[#This Row],[School District]])),MAX($A$1:A925)+1,0)</f>
        <v>0</v>
      </c>
      <c r="B926" s="661" t="s">
        <v>1289</v>
      </c>
      <c r="C926" s="1599">
        <v>21044055002</v>
      </c>
      <c r="D926" s="664">
        <v>2</v>
      </c>
      <c r="E926" t="str">
        <f>IF(OR(Table1[[#This Row],[Type]]=0,Table1[[#This Row],[Type]]&gt;=40),"JA","SD")</f>
        <v>SD</v>
      </c>
      <c r="F926" t="s">
        <v>1816</v>
      </c>
      <c r="G926" s="661" t="s">
        <v>2953</v>
      </c>
      <c r="J926" s="653" t="str">
        <f>IFERROR(VLOOKUP(ROWS($J$2:J926),$A$2:$B$996,2,FALSE),"")</f>
        <v/>
      </c>
    </row>
    <row r="927" spans="1:10" ht="12.75" customHeight="1" x14ac:dyDescent="0.2">
      <c r="A927">
        <f>IF(ISNUMBER(SEARCH(Cover!$H$13,Table1[[#This Row],[School District]])),MAX($A$1:A926)+1,0)</f>
        <v>0</v>
      </c>
      <c r="B927" s="661" t="s">
        <v>1433</v>
      </c>
      <c r="C927" s="1599">
        <v>11021302026</v>
      </c>
      <c r="D927" s="664">
        <v>26</v>
      </c>
      <c r="E927" t="str">
        <f>IF(OR(Table1[[#This Row],[Type]]=0,Table1[[#This Row],[Type]]&gt;=40),"JA","SD")</f>
        <v>SD</v>
      </c>
      <c r="F927" t="s">
        <v>3244</v>
      </c>
      <c r="G927" s="661" t="s">
        <v>2954</v>
      </c>
      <c r="J927" s="653" t="str">
        <f>IFERROR(VLOOKUP(ROWS($J$2:J927),$A$2:$B$996,2,FALSE),"")</f>
        <v/>
      </c>
    </row>
    <row r="928" spans="1:10" ht="12.75" customHeight="1" x14ac:dyDescent="0.2">
      <c r="A928">
        <f>IF(ISNUMBER(SEARCH(Cover!$H$13,Table1[[#This Row],[School District]])),MAX($A$1:A927)+1,0)</f>
        <v>0</v>
      </c>
      <c r="B928" s="661" t="s">
        <v>1627</v>
      </c>
      <c r="C928" s="1599">
        <v>1009064026</v>
      </c>
      <c r="D928" s="664">
        <v>26</v>
      </c>
      <c r="E928" t="str">
        <f>IF(OR(Table1[[#This Row],[Type]]=0,Table1[[#This Row],[Type]]&gt;=40),"JA","SD")</f>
        <v>SD</v>
      </c>
      <c r="F928" t="s">
        <v>3246</v>
      </c>
      <c r="G928" s="661" t="s">
        <v>2955</v>
      </c>
      <c r="J928" s="653" t="str">
        <f>IFERROR(VLOOKUP(ROWS($J$2:J928),$A$2:$B$996,2,FALSE),"")</f>
        <v/>
      </c>
    </row>
    <row r="929" spans="1:10" ht="12.75" customHeight="1" x14ac:dyDescent="0.2">
      <c r="A929">
        <f>IF(ISNUMBER(SEARCH(Cover!$H$13,Table1[[#This Row],[School District]])),MAX($A$1:A928)+1,0)</f>
        <v>0</v>
      </c>
      <c r="B929" s="661" t="s">
        <v>1498</v>
      </c>
      <c r="C929" s="1599">
        <v>7016147002</v>
      </c>
      <c r="D929" s="664">
        <v>2</v>
      </c>
      <c r="E929" t="str">
        <f>IF(OR(Table1[[#This Row],[Type]]=0,Table1[[#This Row],[Type]]&gt;=40),"JA","SD")</f>
        <v>SD</v>
      </c>
      <c r="F929" t="s">
        <v>1766</v>
      </c>
      <c r="G929" s="661" t="s">
        <v>2956</v>
      </c>
      <c r="J929" s="653" t="str">
        <f>IFERROR(VLOOKUP(ROWS($J$2:J929),$A$2:$B$996,2,FALSE),"")</f>
        <v/>
      </c>
    </row>
    <row r="930" spans="1:10" ht="12.75" customHeight="1" x14ac:dyDescent="0.2">
      <c r="A930">
        <f>IF(ISNUMBER(SEARCH(Cover!$H$13,Table1[[#This Row],[School District]])),MAX($A$1:A929)+1,0)</f>
        <v>0</v>
      </c>
      <c r="B930" t="s">
        <v>1682</v>
      </c>
      <c r="C930" s="1599">
        <v>20097801060</v>
      </c>
      <c r="D930" s="664">
        <v>60</v>
      </c>
      <c r="E930" t="str">
        <f>IF(OR(Table1[[#This Row],[Type]]=0,Table1[[#This Row],[Type]]&gt;=40),"JA","SD")</f>
        <v>JA</v>
      </c>
      <c r="F930" t="s">
        <v>1830</v>
      </c>
      <c r="G930" s="661" t="s">
        <v>2957</v>
      </c>
      <c r="J930" s="653" t="str">
        <f>IFERROR(VLOOKUP(ROWS($J$2:J930),$A$2:$B$996,2,FALSE),"")</f>
        <v/>
      </c>
    </row>
    <row r="931" spans="1:10" ht="12.75" customHeight="1" x14ac:dyDescent="0.2">
      <c r="A931">
        <f>IF(ISNUMBER(SEARCH(Cover!$H$13,Table1[[#This Row],[School District]])),MAX($A$1:A930)+1,0)</f>
        <v>0</v>
      </c>
      <c r="B931" s="661" t="s">
        <v>1308</v>
      </c>
      <c r="C931" s="1599">
        <v>20093348026</v>
      </c>
      <c r="D931" s="664">
        <v>26</v>
      </c>
      <c r="E931" t="str">
        <f>IF(OR(Table1[[#This Row],[Type]]=0,Table1[[#This Row],[Type]]&gt;=40),"JA","SD")</f>
        <v>SD</v>
      </c>
      <c r="F931" t="s">
        <v>1770</v>
      </c>
      <c r="G931" s="661" t="s">
        <v>2958</v>
      </c>
      <c r="J931" s="653" t="str">
        <f>IFERROR(VLOOKUP(ROWS($J$2:J931),$A$2:$B$996,2,FALSE),"")</f>
        <v/>
      </c>
    </row>
    <row r="932" spans="1:10" ht="12.75" customHeight="1" x14ac:dyDescent="0.2">
      <c r="A932">
        <f>IF(ISNUMBER(SEARCH(Cover!$H$13,Table1[[#This Row],[School District]])),MAX($A$1:A931)+1,0)</f>
        <v>0</v>
      </c>
      <c r="B932" s="661" t="s">
        <v>1128</v>
      </c>
      <c r="C932" s="1599">
        <v>35050195004</v>
      </c>
      <c r="D932" s="664">
        <v>4</v>
      </c>
      <c r="E932" t="str">
        <f>IF(OR(Table1[[#This Row],[Type]]=0,Table1[[#This Row],[Type]]&gt;=40),"JA","SD")</f>
        <v>SD</v>
      </c>
      <c r="F932" t="s">
        <v>3165</v>
      </c>
      <c r="G932" s="661" t="s">
        <v>2959</v>
      </c>
      <c r="J932" s="653" t="str">
        <f>IFERROR(VLOOKUP(ROWS($J$2:J932),$A$2:$B$996,2,FALSE),"")</f>
        <v/>
      </c>
    </row>
    <row r="933" spans="1:10" ht="12.75" customHeight="1" x14ac:dyDescent="0.2">
      <c r="A933">
        <f>IF(ISNUMBER(SEARCH(Cover!$H$13,Table1[[#This Row],[School District]])),MAX($A$1:A932)+1,0)</f>
        <v>0</v>
      </c>
      <c r="B933" s="661" t="s">
        <v>1129</v>
      </c>
      <c r="C933" s="1599">
        <v>35050185004</v>
      </c>
      <c r="D933" s="664">
        <v>4</v>
      </c>
      <c r="E933" t="str">
        <f>IF(OR(Table1[[#This Row],[Type]]=0,Table1[[#This Row],[Type]]&gt;=40),"JA","SD")</f>
        <v>SD</v>
      </c>
      <c r="F933" t="s">
        <v>3165</v>
      </c>
      <c r="G933" s="661" t="s">
        <v>2960</v>
      </c>
      <c r="J933" s="653" t="str">
        <f>IFERROR(VLOOKUP(ROWS($J$2:J933),$A$2:$B$996,2,FALSE),"")</f>
        <v/>
      </c>
    </row>
    <row r="934" spans="1:10" ht="12.75" customHeight="1" x14ac:dyDescent="0.2">
      <c r="A934">
        <f>IF(ISNUMBER(SEARCH(Cover!$H$13,Table1[[#This Row],[School District]])),MAX($A$1:A933)+1,0)</f>
        <v>0</v>
      </c>
      <c r="B934" s="661" t="s">
        <v>1404</v>
      </c>
      <c r="C934" s="1599">
        <v>13041001026</v>
      </c>
      <c r="D934" s="664">
        <v>26</v>
      </c>
      <c r="E934" t="str">
        <f>IF(OR(Table1[[#This Row],[Type]]=0,Table1[[#This Row],[Type]]&gt;=40),"JA","SD")</f>
        <v>SD</v>
      </c>
      <c r="F934" t="s">
        <v>1797</v>
      </c>
      <c r="G934" s="661" t="s">
        <v>2961</v>
      </c>
      <c r="J934" s="653" t="str">
        <f>IFERROR(VLOOKUP(ROWS($J$2:J934),$A$2:$B$996,2,FALSE),"")</f>
        <v/>
      </c>
    </row>
    <row r="935" spans="1:10" ht="12.75" customHeight="1" x14ac:dyDescent="0.2">
      <c r="A935">
        <f>IF(ISNUMBER(SEARCH(Cover!$H$13,Table1[[#This Row],[School District]])),MAX($A$1:A934)+1,0)</f>
        <v>0</v>
      </c>
      <c r="B935" s="661" t="s">
        <v>1458</v>
      </c>
      <c r="C935" s="1599">
        <v>8043205026</v>
      </c>
      <c r="D935" s="664">
        <v>26</v>
      </c>
      <c r="E935" t="str">
        <f>IF(OR(Table1[[#This Row],[Type]]=0,Table1[[#This Row],[Type]]&gt;=40),"JA","SD")</f>
        <v>SD</v>
      </c>
      <c r="F935" t="s">
        <v>1885</v>
      </c>
      <c r="G935" s="661" t="s">
        <v>2962</v>
      </c>
      <c r="J935" s="653" t="str">
        <f>IFERROR(VLOOKUP(ROWS($J$2:J935),$A$2:$B$996,2,FALSE),"")</f>
        <v/>
      </c>
    </row>
    <row r="936" spans="1:10" ht="12.75" customHeight="1" x14ac:dyDescent="0.2">
      <c r="A936">
        <f>IF(ISNUMBER(SEARCH(Cover!$H$13,Table1[[#This Row],[School District]])),MAX($A$1:A935)+1,0)</f>
        <v>0</v>
      </c>
      <c r="B936" s="661" t="s">
        <v>1155</v>
      </c>
      <c r="C936" s="1599">
        <v>34049121017</v>
      </c>
      <c r="D936" s="664">
        <v>17</v>
      </c>
      <c r="E936" t="str">
        <f>IF(OR(Table1[[#This Row],[Type]]=0,Table1[[#This Row],[Type]]&gt;=40),"JA","SD")</f>
        <v>SD</v>
      </c>
      <c r="F936" t="s">
        <v>1765</v>
      </c>
      <c r="G936" s="661" t="s">
        <v>2963</v>
      </c>
      <c r="J936" s="653" t="str">
        <f>IFERROR(VLOOKUP(ROWS($J$2:J936),$A$2:$B$996,2,FALSE),"")</f>
        <v/>
      </c>
    </row>
    <row r="937" spans="1:10" ht="12.75" customHeight="1" x14ac:dyDescent="0.2">
      <c r="A937">
        <f>IF(ISNUMBER(SEARCH(Cover!$H$13,Table1[[#This Row],[School District]])),MAX($A$1:A936)+1,0)</f>
        <v>0</v>
      </c>
      <c r="B937" s="661" t="s">
        <v>2019</v>
      </c>
      <c r="C937" s="1599">
        <v>39055011026</v>
      </c>
      <c r="D937" s="664">
        <v>26</v>
      </c>
      <c r="E937" t="str">
        <f>IF(OR(Table1[[#This Row],[Type]]=0,Table1[[#This Row],[Type]]&gt;=40),"JA","SD")</f>
        <v>SD</v>
      </c>
      <c r="F937" t="s">
        <v>3247</v>
      </c>
      <c r="G937" s="661" t="s">
        <v>2964</v>
      </c>
      <c r="J937" s="653" t="str">
        <f>IFERROR(VLOOKUP(ROWS($J$2:J937),$A$2:$B$996,2,FALSE),"")</f>
        <v/>
      </c>
    </row>
    <row r="938" spans="1:10" x14ac:dyDescent="0.2">
      <c r="A938">
        <f>IF(ISNUMBER(SEARCH(Cover!$H$13,Table1[[#This Row],[School District]])),MAX($A$1:A937)+1,0)</f>
        <v>0</v>
      </c>
      <c r="B938" s="661" t="s">
        <v>1265</v>
      </c>
      <c r="C938" s="1599">
        <v>26034316026</v>
      </c>
      <c r="D938" s="664">
        <v>26</v>
      </c>
      <c r="E938" t="str">
        <f>IF(OR(Table1[[#This Row],[Type]]=0,Table1[[#This Row],[Type]]&gt;=40),"JA","SD")</f>
        <v>SD</v>
      </c>
      <c r="F938" t="s">
        <v>1834</v>
      </c>
      <c r="G938" s="661" t="s">
        <v>2965</v>
      </c>
      <c r="J938" s="653" t="str">
        <f>IFERROR(VLOOKUP(ROWS($J$2:J938),$A$2:$B$996,2,FALSE),"")</f>
        <v/>
      </c>
    </row>
    <row r="939" spans="1:10" x14ac:dyDescent="0.2">
      <c r="A939">
        <f>IF(ISNUMBER(SEARCH(Cover!$H$13,Table1[[#This Row],[School District]])),MAX($A$1:A938)+1,0)</f>
        <v>0</v>
      </c>
      <c r="B939" s="661" t="s">
        <v>978</v>
      </c>
      <c r="C939" s="1599">
        <v>53090308016</v>
      </c>
      <c r="D939" s="664">
        <v>16</v>
      </c>
      <c r="E939" t="str">
        <f>IF(OR(Table1[[#This Row],[Type]]=0,Table1[[#This Row],[Type]]&gt;=40),"JA","SD")</f>
        <v>SD</v>
      </c>
      <c r="F939" t="s">
        <v>1847</v>
      </c>
      <c r="G939" s="661" t="s">
        <v>2966</v>
      </c>
      <c r="J939" s="653" t="str">
        <f>IFERROR(VLOOKUP(ROWS($J$2:J939),$A$2:$B$996,2,FALSE),"")</f>
        <v/>
      </c>
    </row>
    <row r="940" spans="1:10" ht="12.75" customHeight="1" x14ac:dyDescent="0.2">
      <c r="A940">
        <f>IF(ISNUMBER(SEARCH(Cover!$H$13,Table1[[#This Row],[School District]])),MAX($A$1:A939)+1,0)</f>
        <v>0</v>
      </c>
      <c r="B940" s="661" t="s">
        <v>985</v>
      </c>
      <c r="C940" s="1599">
        <v>53090052002</v>
      </c>
      <c r="D940" s="664">
        <v>2</v>
      </c>
      <c r="E940" t="str">
        <f>IF(OR(Table1[[#This Row],[Type]]=0,Table1[[#This Row],[Type]]&gt;=40),"JA","SD")</f>
        <v>SD</v>
      </c>
      <c r="F940" t="s">
        <v>1847</v>
      </c>
      <c r="G940" s="661" t="s">
        <v>2967</v>
      </c>
      <c r="J940" s="653" t="str">
        <f>IFERROR(VLOOKUP(ROWS($J$2:J940),$A$2:$B$996,2,FALSE),"")</f>
        <v/>
      </c>
    </row>
    <row r="941" spans="1:10" ht="12.75" customHeight="1" x14ac:dyDescent="0.2">
      <c r="A941">
        <f>IF(ISNUMBER(SEARCH(Cover!$H$13,Table1[[#This Row],[School District]])),MAX($A$1:A940)+1,0)</f>
        <v>0</v>
      </c>
      <c r="B941" s="661" t="s">
        <v>1077</v>
      </c>
      <c r="C941" s="1599">
        <v>45067005026</v>
      </c>
      <c r="D941" s="664">
        <v>26</v>
      </c>
      <c r="E941" t="str">
        <f>IF(OR(Table1[[#This Row],[Type]]=0,Table1[[#This Row],[Type]]&gt;=40),"JA","SD")</f>
        <v>SD</v>
      </c>
      <c r="F941" t="s">
        <v>3258</v>
      </c>
      <c r="G941" s="661" t="s">
        <v>2968</v>
      </c>
      <c r="J941" s="653" t="str">
        <f>IFERROR(VLOOKUP(ROWS($J$2:J941),$A$2:$B$996,2,FALSE),"")</f>
        <v/>
      </c>
    </row>
    <row r="942" spans="1:10" ht="12.75" customHeight="1" x14ac:dyDescent="0.2">
      <c r="A942">
        <f>IF(ISNUMBER(SEARCH(Cover!$H$13,Table1[[#This Row],[School District]])),MAX($A$1:A941)+1,0)</f>
        <v>0</v>
      </c>
      <c r="B942" s="661" t="s">
        <v>1156</v>
      </c>
      <c r="C942" s="1599">
        <v>34049118026</v>
      </c>
      <c r="D942" s="664">
        <v>26</v>
      </c>
      <c r="E942" t="str">
        <f>IF(OR(Table1[[#This Row],[Type]]=0,Table1[[#This Row],[Type]]&gt;=40),"JA","SD")</f>
        <v>SD</v>
      </c>
      <c r="F942" t="s">
        <v>1765</v>
      </c>
      <c r="G942" s="661" t="s">
        <v>2969</v>
      </c>
      <c r="J942" s="653" t="str">
        <f>IFERROR(VLOOKUP(ROWS($J$2:J942),$A$2:$B$996,2,FALSE),"")</f>
        <v/>
      </c>
    </row>
    <row r="943" spans="1:10" ht="12.75" customHeight="1" x14ac:dyDescent="0.2">
      <c r="A943">
        <f>IF(ISNUMBER(SEARCH(Cover!$H$13,Table1[[#This Row],[School District]])),MAX($A$1:A942)+1,0)</f>
        <v>0</v>
      </c>
      <c r="B943" s="661" t="s">
        <v>1177</v>
      </c>
      <c r="C943" s="1599">
        <v>34049060026</v>
      </c>
      <c r="D943" s="664">
        <v>26</v>
      </c>
      <c r="E943" t="str">
        <f>IF(OR(Table1[[#This Row],[Type]]=0,Table1[[#This Row],[Type]]&gt;=40),"JA","SD")</f>
        <v>SD</v>
      </c>
      <c r="F943" t="s">
        <v>1765</v>
      </c>
      <c r="G943" s="661" t="s">
        <v>2970</v>
      </c>
      <c r="J943" s="653" t="str">
        <f>IFERROR(VLOOKUP(ROWS($J$2:J943),$A$2:$B$996,2,FALSE),"")</f>
        <v/>
      </c>
    </row>
    <row r="944" spans="1:10" ht="12.75" customHeight="1" x14ac:dyDescent="0.2">
      <c r="A944">
        <f>IF(ISNUMBER(SEARCH(Cover!$H$13,Table1[[#This Row],[School District]])),MAX($A$1:A943)+1,0)</f>
        <v>0</v>
      </c>
      <c r="B944" s="661" t="s">
        <v>1625</v>
      </c>
      <c r="C944" s="1599">
        <v>1069006026</v>
      </c>
      <c r="D944" s="664">
        <v>26</v>
      </c>
      <c r="E944" t="str">
        <f>IF(OR(Table1[[#This Row],[Type]]=0,Table1[[#This Row],[Type]]&gt;=40),"JA","SD")</f>
        <v>SD</v>
      </c>
      <c r="F944" t="s">
        <v>1899</v>
      </c>
      <c r="G944" s="661" t="s">
        <v>2971</v>
      </c>
      <c r="J944" s="653" t="str">
        <f>IFERROR(VLOOKUP(ROWS($J$2:J944),$A$2:$B$996,2,FALSE),"")</f>
        <v/>
      </c>
    </row>
    <row r="945" spans="1:10" ht="12.75" customHeight="1" x14ac:dyDescent="0.2">
      <c r="A945">
        <f>IF(ISNUMBER(SEARCH(Cover!$H$13,Table1[[#This Row],[School District]])),MAX($A$1:A944)+1,0)</f>
        <v>0</v>
      </c>
      <c r="B945" s="661" t="s">
        <v>1304</v>
      </c>
      <c r="C945" s="1599">
        <v>20096100026</v>
      </c>
      <c r="D945" s="664">
        <v>26</v>
      </c>
      <c r="E945" t="str">
        <f>IF(OR(Table1[[#This Row],[Type]]=0,Table1[[#This Row],[Type]]&gt;=40),"JA","SD")</f>
        <v>SD</v>
      </c>
      <c r="F945" t="s">
        <v>1894</v>
      </c>
      <c r="G945" s="661" t="s">
        <v>2972</v>
      </c>
      <c r="J945" s="653" t="str">
        <f>IFERROR(VLOOKUP(ROWS($J$2:J945),$A$2:$B$996,2,FALSE),"")</f>
        <v/>
      </c>
    </row>
    <row r="946" spans="1:10" x14ac:dyDescent="0.2">
      <c r="A946">
        <f>IF(ISNUMBER(SEARCH(Cover!$H$13,Table1[[#This Row],[School District]])),MAX($A$1:A945)+1,0)</f>
        <v>0</v>
      </c>
      <c r="B946" s="661" t="s">
        <v>1413</v>
      </c>
      <c r="C946" s="1599">
        <v>13014003026</v>
      </c>
      <c r="D946" s="664">
        <v>26</v>
      </c>
      <c r="E946" t="str">
        <f>IF(OR(Table1[[#This Row],[Type]]=0,Table1[[#This Row],[Type]]&gt;=40),"JA","SD")</f>
        <v>SD</v>
      </c>
      <c r="F946" t="s">
        <v>1768</v>
      </c>
      <c r="G946" s="661" t="s">
        <v>2973</v>
      </c>
      <c r="J946" s="653" t="str">
        <f>IFERROR(VLOOKUP(ROWS($J$2:J946),$A$2:$B$996,2,FALSE),"")</f>
        <v/>
      </c>
    </row>
    <row r="947" spans="1:10" ht="12.75" customHeight="1" x14ac:dyDescent="0.2">
      <c r="A947">
        <f>IF(ISNUMBER(SEARCH(Cover!$H$13,Table1[[#This Row],[School District]])),MAX($A$1:A946)+1,0)</f>
        <v>0</v>
      </c>
      <c r="B947" s="661" t="s">
        <v>2020</v>
      </c>
      <c r="C947" s="1599">
        <v>8008314026</v>
      </c>
      <c r="D947" s="664">
        <v>26</v>
      </c>
      <c r="E947" t="str">
        <f>IF(OR(Table1[[#This Row],[Type]]=0,Table1[[#This Row],[Type]]&gt;=40),"JA","SD")</f>
        <v>SD</v>
      </c>
      <c r="F947" t="s">
        <v>1850</v>
      </c>
      <c r="G947" s="661" t="s">
        <v>2974</v>
      </c>
      <c r="J947" s="653" t="str">
        <f>IFERROR(VLOOKUP(ROWS($J$2:J947),$A$2:$B$996,2,FALSE),"")</f>
        <v/>
      </c>
    </row>
    <row r="948" spans="1:10" ht="12.75" customHeight="1" x14ac:dyDescent="0.2">
      <c r="A948">
        <f>IF(ISNUMBER(SEARCH(Cover!$H$13,Table1[[#This Row],[School District]])),MAX($A$1:A947)+1,0)</f>
        <v>0</v>
      </c>
      <c r="B948" s="661" t="s">
        <v>1195</v>
      </c>
      <c r="C948" s="1599">
        <v>33036235026</v>
      </c>
      <c r="D948" s="664">
        <v>26</v>
      </c>
      <c r="E948" t="str">
        <f>IF(OR(Table1[[#This Row],[Type]]=0,Table1[[#This Row],[Type]]&gt;=40),"JA","SD")</f>
        <v>SD</v>
      </c>
      <c r="F948" t="s">
        <v>2021</v>
      </c>
      <c r="G948" s="661" t="s">
        <v>2975</v>
      </c>
      <c r="J948" s="653" t="str">
        <f>IFERROR(VLOOKUP(ROWS($J$2:J948),$A$2:$B$996,2,FALSE),"")</f>
        <v/>
      </c>
    </row>
    <row r="949" spans="1:10" ht="12.75" customHeight="1" x14ac:dyDescent="0.2">
      <c r="A949">
        <f>IF(ISNUMBER(SEARCH(Cover!$H$13,Table1[[#This Row],[School District]])),MAX($A$1:A948)+1,0)</f>
        <v>0</v>
      </c>
      <c r="B949" t="s">
        <v>1688</v>
      </c>
      <c r="C949" s="1599">
        <v>26062000061</v>
      </c>
      <c r="D949" s="664">
        <v>61</v>
      </c>
      <c r="E949" t="str">
        <f>IF(OR(Table1[[#This Row],[Type]]=0,Table1[[#This Row],[Type]]&gt;=40),"JA","SD")</f>
        <v>JA</v>
      </c>
      <c r="F949" t="s">
        <v>1820</v>
      </c>
      <c r="G949" s="661" t="s">
        <v>2976</v>
      </c>
      <c r="J949" s="653" t="str">
        <f>IFERROR(VLOOKUP(ROWS($J$2:J949),$A$2:$B$996,2,FALSE),"")</f>
        <v/>
      </c>
    </row>
    <row r="950" spans="1:10" ht="12.75" customHeight="1" x14ac:dyDescent="0.2">
      <c r="A950">
        <f>IF(ISNUMBER(SEARCH(Cover!$H$13,Table1[[#This Row],[School District]])),MAX($A$1:A949)+1,0)</f>
        <v>0</v>
      </c>
      <c r="B950" t="s">
        <v>1635</v>
      </c>
      <c r="C950" s="1599">
        <v>1001172046</v>
      </c>
      <c r="D950" s="664">
        <v>46</v>
      </c>
      <c r="E950" t="str">
        <f>IF(OR(Table1[[#This Row],[Type]]=0,Table1[[#This Row],[Type]]&gt;=40),"JA","SD")</f>
        <v>JA</v>
      </c>
      <c r="F950" t="s">
        <v>1843</v>
      </c>
      <c r="G950" s="661" t="s">
        <v>2977</v>
      </c>
      <c r="J950" s="653" t="str">
        <f>IFERROR(VLOOKUP(ROWS($J$2:J950),$A$2:$B$996,2,FALSE),"")</f>
        <v/>
      </c>
    </row>
    <row r="951" spans="1:10" ht="12.75" customHeight="1" x14ac:dyDescent="0.2">
      <c r="A951">
        <f>IF(ISNUMBER(SEARCH(Cover!$H$13,Table1[[#This Row],[School District]])),MAX($A$1:A950)+1,0)</f>
        <v>0</v>
      </c>
      <c r="B951" s="661" t="s">
        <v>1337</v>
      </c>
      <c r="C951" s="1599">
        <v>19022033002</v>
      </c>
      <c r="D951" s="664">
        <v>2</v>
      </c>
      <c r="E951" t="str">
        <f>IF(OR(Table1[[#This Row],[Type]]=0,Table1[[#This Row],[Type]]&gt;=40),"JA","SD")</f>
        <v>SD</v>
      </c>
      <c r="F951" t="s">
        <v>3143</v>
      </c>
      <c r="G951" s="661" t="s">
        <v>2978</v>
      </c>
      <c r="J951" s="653" t="str">
        <f>IFERROR(VLOOKUP(ROWS($J$2:J951),$A$2:$B$996,2,FALSE),"")</f>
        <v/>
      </c>
    </row>
    <row r="952" spans="1:10" x14ac:dyDescent="0.2">
      <c r="A952">
        <f>IF(ISNUMBER(SEARCH(Cover!$H$13,Table1[[#This Row],[School District]])),MAX($A$1:A951)+1,0)</f>
        <v>0</v>
      </c>
      <c r="B952" s="661" t="s">
        <v>1356</v>
      </c>
      <c r="C952" s="1599">
        <v>17054092004</v>
      </c>
      <c r="D952" s="664">
        <v>4</v>
      </c>
      <c r="E952" t="str">
        <f>IF(OR(Table1[[#This Row],[Type]]=0,Table1[[#This Row],[Type]]&gt;=40),"JA","SD")</f>
        <v>SD</v>
      </c>
      <c r="F952" t="s">
        <v>1856</v>
      </c>
      <c r="G952" s="661" t="s">
        <v>2979</v>
      </c>
      <c r="J952" s="653" t="str">
        <f>IFERROR(VLOOKUP(ROWS($J$2:J952),$A$2:$B$996,2,FALSE),"")</f>
        <v/>
      </c>
    </row>
    <row r="953" spans="1:10" ht="12.75" customHeight="1" x14ac:dyDescent="0.2">
      <c r="A953">
        <f>IF(ISNUMBER(SEARCH(Cover!$H$13,Table1[[#This Row],[School District]])),MAX($A$1:A952)+1,0)</f>
        <v>0</v>
      </c>
      <c r="B953" s="661" t="s">
        <v>1578</v>
      </c>
      <c r="C953" s="1599">
        <v>5016031002</v>
      </c>
      <c r="D953" s="664">
        <v>2</v>
      </c>
      <c r="E953" t="str">
        <f>IF(OR(Table1[[#This Row],[Type]]=0,Table1[[#This Row],[Type]]&gt;=40),"JA","SD")</f>
        <v>SD</v>
      </c>
      <c r="F953" t="s">
        <v>1766</v>
      </c>
      <c r="G953" s="661" t="s">
        <v>2980</v>
      </c>
      <c r="J953" s="653" t="str">
        <f>IFERROR(VLOOKUP(ROWS($J$2:J953),$A$2:$B$996,2,FALSE),"")</f>
        <v/>
      </c>
    </row>
    <row r="954" spans="1:10" x14ac:dyDescent="0.2">
      <c r="A954">
        <f>IF(ISNUMBER(SEARCH(Cover!$H$13,Table1[[#This Row],[School District]])),MAX($A$1:A953)+1,0)</f>
        <v>0</v>
      </c>
      <c r="B954" s="661" t="s">
        <v>1258</v>
      </c>
      <c r="C954" s="1599">
        <v>26062103026</v>
      </c>
      <c r="D954" s="664">
        <v>26</v>
      </c>
      <c r="E954" t="str">
        <f>IF(OR(Table1[[#This Row],[Type]]=0,Table1[[#This Row],[Type]]&gt;=40),"JA","SD")</f>
        <v>SD</v>
      </c>
      <c r="F954" t="s">
        <v>3248</v>
      </c>
      <c r="G954" s="661" t="s">
        <v>2981</v>
      </c>
      <c r="J954" s="653" t="str">
        <f>IFERROR(VLOOKUP(ROWS($J$2:J954),$A$2:$B$996,2,FALSE),"")</f>
        <v/>
      </c>
    </row>
    <row r="955" spans="1:10" ht="12.75" customHeight="1" x14ac:dyDescent="0.2">
      <c r="A955">
        <f>IF(ISNUMBER(SEARCH(Cover!$H$13,Table1[[#This Row],[School District]])),MAX($A$1:A954)+1,0)</f>
        <v>0</v>
      </c>
      <c r="B955" s="661" t="s">
        <v>2022</v>
      </c>
      <c r="C955" s="1599">
        <v>13095010026</v>
      </c>
      <c r="D955" s="664">
        <v>26</v>
      </c>
      <c r="E955" t="str">
        <f>IF(OR(Table1[[#This Row],[Type]]=0,Table1[[#This Row],[Type]]&gt;=40),"JA","SD")</f>
        <v>SD</v>
      </c>
      <c r="F955" t="s">
        <v>1785</v>
      </c>
      <c r="G955" s="661" t="s">
        <v>2982</v>
      </c>
      <c r="J955" s="653" t="str">
        <f>IFERROR(VLOOKUP(ROWS($J$2:J955),$A$2:$B$996,2,FALSE),"")</f>
        <v/>
      </c>
    </row>
    <row r="956" spans="1:10" ht="12.75" customHeight="1" x14ac:dyDescent="0.2">
      <c r="A956">
        <f>IF(ISNUMBER(SEARCH(Cover!$H$13,Table1[[#This Row],[School District]])),MAX($A$1:A955)+1,0)</f>
        <v>0</v>
      </c>
      <c r="B956" s="661" t="s">
        <v>1540</v>
      </c>
      <c r="C956" s="1599">
        <v>6016092502</v>
      </c>
      <c r="D956" s="664">
        <v>2</v>
      </c>
      <c r="E956" t="str">
        <f>IF(OR(Table1[[#This Row],[Type]]=0,Table1[[#This Row],[Type]]&gt;=40),"JA","SD")</f>
        <v>SD</v>
      </c>
      <c r="F956" t="s">
        <v>1766</v>
      </c>
      <c r="G956" s="661" t="s">
        <v>2983</v>
      </c>
      <c r="J956" s="653" t="str">
        <f>IFERROR(VLOOKUP(ROWS($J$2:J956),$A$2:$B$996,2,FALSE),"")</f>
        <v/>
      </c>
    </row>
    <row r="957" spans="1:10" x14ac:dyDescent="0.2">
      <c r="A957">
        <f>IF(ISNUMBER(SEARCH(Cover!$H$13,Table1[[#This Row],[School District]])),MAX($A$1:A956)+1,0)</f>
        <v>0</v>
      </c>
      <c r="B957" t="s">
        <v>1687</v>
      </c>
      <c r="C957" s="1599">
        <v>26000000046</v>
      </c>
      <c r="D957" s="664">
        <v>46</v>
      </c>
      <c r="E957" t="str">
        <f>IF(OR(Table1[[#This Row],[Type]]=0,Table1[[#This Row],[Type]]&gt;=40),"JA","SD")</f>
        <v>JA</v>
      </c>
      <c r="F957" t="s">
        <v>3298</v>
      </c>
      <c r="G957" s="661" t="s">
        <v>2984</v>
      </c>
      <c r="J957" s="653" t="str">
        <f>IFERROR(VLOOKUP(ROWS($J$2:J957),$A$2:$B$996,2,FALSE),"")</f>
        <v/>
      </c>
    </row>
    <row r="958" spans="1:10" x14ac:dyDescent="0.2">
      <c r="A958">
        <f>IF(ISNUMBER(SEARCH(Cover!$H$13,Table1[[#This Row],[School District]])),MAX($A$1:A957)+1,0)</f>
        <v>0</v>
      </c>
      <c r="B958" s="661" t="s">
        <v>1619</v>
      </c>
      <c r="C958" s="1599">
        <v>1075012026</v>
      </c>
      <c r="D958" s="664">
        <v>26</v>
      </c>
      <c r="E958" t="str">
        <f>IF(OR(Table1[[#This Row],[Type]]=0,Table1[[#This Row],[Type]]&gt;=40),"JA","SD")</f>
        <v>SD</v>
      </c>
      <c r="F958" t="s">
        <v>1905</v>
      </c>
      <c r="G958" s="661" t="s">
        <v>2985</v>
      </c>
      <c r="J958" s="653" t="str">
        <f>IFERROR(VLOOKUP(ROWS($J$2:J958),$A$2:$B$996,2,FALSE),"")</f>
        <v/>
      </c>
    </row>
    <row r="959" spans="1:10" ht="12.75" customHeight="1" x14ac:dyDescent="0.2">
      <c r="A959">
        <f>IF(ISNUMBER(SEARCH(Cover!$H$13,Table1[[#This Row],[School District]])),MAX($A$1:A958)+1,0)</f>
        <v>0</v>
      </c>
      <c r="B959" s="661" t="s">
        <v>1531</v>
      </c>
      <c r="C959" s="1599">
        <v>6016101002</v>
      </c>
      <c r="D959" s="664">
        <v>2</v>
      </c>
      <c r="E959" t="str">
        <f>IF(OR(Table1[[#This Row],[Type]]=0,Table1[[#This Row],[Type]]&gt;=40),"JA","SD")</f>
        <v>SD</v>
      </c>
      <c r="F959" t="s">
        <v>1766</v>
      </c>
      <c r="G959" s="661" t="s">
        <v>2986</v>
      </c>
      <c r="J959" s="653" t="str">
        <f>IFERROR(VLOOKUP(ROWS($J$2:J959),$A$2:$B$996,2,FALSE),"")</f>
        <v/>
      </c>
    </row>
    <row r="960" spans="1:10" ht="12.75" customHeight="1" x14ac:dyDescent="0.2">
      <c r="A960">
        <f>IF(ISNUMBER(SEARCH(Cover!$H$13,Table1[[#This Row],[School District]])),MAX($A$1:A959)+1,0)</f>
        <v>0</v>
      </c>
      <c r="B960" s="661" t="s">
        <v>2023</v>
      </c>
      <c r="C960" s="1599">
        <v>54092002026</v>
      </c>
      <c r="D960" s="664">
        <v>26</v>
      </c>
      <c r="E960" t="str">
        <f>IF(OR(Table1[[#This Row],[Type]]=0,Table1[[#This Row],[Type]]&gt;=40),"JA","SD")</f>
        <v>SD</v>
      </c>
      <c r="F960" t="s">
        <v>1783</v>
      </c>
      <c r="G960" s="661" t="s">
        <v>2987</v>
      </c>
      <c r="J960" s="653" t="str">
        <f>IFERROR(VLOOKUP(ROWS($J$2:J960),$A$2:$B$996,2,FALSE),"")</f>
        <v/>
      </c>
    </row>
    <row r="961" spans="1:10" ht="12.75" customHeight="1" x14ac:dyDescent="0.2">
      <c r="A961">
        <f>IF(ISNUMBER(SEARCH(Cover!$H$13,Table1[[#This Row],[School District]])),MAX($A$1:A960)+1,0)</f>
        <v>0</v>
      </c>
      <c r="B961" s="661" t="s">
        <v>1238</v>
      </c>
      <c r="C961" s="1599">
        <v>28037230026</v>
      </c>
      <c r="D961" s="664">
        <v>26</v>
      </c>
      <c r="E961" t="str">
        <f>IF(OR(Table1[[#This Row],[Type]]=0,Table1[[#This Row],[Type]]&gt;=40),"JA","SD")</f>
        <v>SD</v>
      </c>
      <c r="F961" t="s">
        <v>3249</v>
      </c>
      <c r="G961" s="661" t="s">
        <v>2988</v>
      </c>
      <c r="J961" s="653" t="str">
        <f>IFERROR(VLOOKUP(ROWS($J$2:J961),$A$2:$B$996,2,FALSE),"")</f>
        <v/>
      </c>
    </row>
    <row r="962" spans="1:10" ht="12.75" customHeight="1" x14ac:dyDescent="0.2">
      <c r="A962">
        <f>IF(ISNUMBER(SEARCH(Cover!$H$13,Table1[[#This Row],[School District]])),MAX($A$1:A961)+1,0)</f>
        <v>0</v>
      </c>
      <c r="B962" s="661" t="s">
        <v>1586</v>
      </c>
      <c r="C962" s="1599">
        <v>5016021004</v>
      </c>
      <c r="D962" s="664">
        <v>4</v>
      </c>
      <c r="E962" t="str">
        <f>IF(OR(Table1[[#This Row],[Type]]=0,Table1[[#This Row],[Type]]&gt;=40),"JA","SD")</f>
        <v>SD</v>
      </c>
      <c r="F962" t="s">
        <v>1766</v>
      </c>
      <c r="G962" s="661" t="s">
        <v>2989</v>
      </c>
      <c r="J962" s="653" t="str">
        <f>IFERROR(VLOOKUP(ROWS($J$2:J962),$A$2:$B$996,2,FALSE),"")</f>
        <v/>
      </c>
    </row>
    <row r="963" spans="1:10" ht="12.75" customHeight="1" x14ac:dyDescent="0.2">
      <c r="A963">
        <f>IF(ISNUMBER(SEARCH(Cover!$H$13,Table1[[#This Row],[School District]])),MAX($A$1:A962)+1,0)</f>
        <v>0</v>
      </c>
      <c r="B963" t="s">
        <v>2024</v>
      </c>
      <c r="C963" s="1599">
        <v>47098005046</v>
      </c>
      <c r="D963" s="664">
        <v>46</v>
      </c>
      <c r="E963" t="str">
        <f>IF(OR(Table1[[#This Row],[Type]]=0,Table1[[#This Row],[Type]]&gt;=40),"JA","SD")</f>
        <v>JA</v>
      </c>
      <c r="F963" t="s">
        <v>1798</v>
      </c>
      <c r="G963" s="661" t="s">
        <v>2990</v>
      </c>
      <c r="J963" s="653" t="str">
        <f>IFERROR(VLOOKUP(ROWS($J$2:J963),$A$2:$B$996,2,FALSE),"")</f>
        <v/>
      </c>
    </row>
    <row r="964" spans="1:10" ht="12.75" customHeight="1" x14ac:dyDescent="0.2">
      <c r="A964">
        <f>IF(ISNUMBER(SEARCH(Cover!$H$13,Table1[[#This Row],[School District]])),MAX($A$1:A963)+1,0)</f>
        <v>0</v>
      </c>
      <c r="B964" s="661" t="s">
        <v>1014</v>
      </c>
      <c r="C964" s="1599">
        <v>50082115002</v>
      </c>
      <c r="D964" s="664">
        <v>2</v>
      </c>
      <c r="E964" t="str">
        <f>IF(OR(Table1[[#This Row],[Type]]=0,Table1[[#This Row],[Type]]&gt;=40),"JA","SD")</f>
        <v>SD</v>
      </c>
      <c r="F964" t="s">
        <v>3255</v>
      </c>
      <c r="G964" s="661" t="s">
        <v>2991</v>
      </c>
      <c r="J964" s="653" t="str">
        <f>IFERROR(VLOOKUP(ROWS($J$2:J964),$A$2:$B$996,2,FALSE),"")</f>
        <v/>
      </c>
    </row>
    <row r="965" spans="1:10" ht="12.75" customHeight="1" x14ac:dyDescent="0.2">
      <c r="A965">
        <f>IF(ISNUMBER(SEARCH(Cover!$H$13,Table1[[#This Row],[School District]])),MAX($A$1:A964)+1,0)</f>
        <v>0</v>
      </c>
      <c r="B965" t="s">
        <v>1732</v>
      </c>
      <c r="C965" s="1599">
        <v>56000000040</v>
      </c>
      <c r="D965" s="664">
        <v>40</v>
      </c>
      <c r="E965" t="str">
        <f>IF(OR(Table1[[#This Row],[Type]]=0,Table1[[#This Row],[Type]]&gt;=40),"JA","SD")</f>
        <v>JA</v>
      </c>
      <c r="F965" t="s">
        <v>1793</v>
      </c>
      <c r="G965" s="661" t="s">
        <v>2992</v>
      </c>
      <c r="J965" s="653" t="str">
        <f>IFERROR(VLOOKUP(ROWS($J$2:J965),$A$2:$B$996,2,FALSE),"")</f>
        <v/>
      </c>
    </row>
    <row r="966" spans="1:10" ht="12.75" customHeight="1" x14ac:dyDescent="0.2">
      <c r="A966">
        <f>IF(ISNUMBER(SEARCH(Cover!$H$13,Table1[[#This Row],[School District]])),MAX($A$1:A965)+1,0)</f>
        <v>0</v>
      </c>
      <c r="B966" s="661" t="s">
        <v>2025</v>
      </c>
      <c r="C966" s="1599">
        <v>56099092002</v>
      </c>
      <c r="D966" s="664">
        <v>2</v>
      </c>
      <c r="E966" t="str">
        <f>IF(OR(Table1[[#This Row],[Type]]=0,Table1[[#This Row],[Type]]&gt;=40),"JA","SD")</f>
        <v>SD</v>
      </c>
      <c r="F966" t="s">
        <v>1793</v>
      </c>
      <c r="G966" s="661" t="s">
        <v>2993</v>
      </c>
      <c r="J966" s="653" t="str">
        <f>IFERROR(VLOOKUP(ROWS($J$2:J966),$A$2:$B$996,2,FALSE),"")</f>
        <v/>
      </c>
    </row>
    <row r="967" spans="1:10" x14ac:dyDescent="0.2">
      <c r="A967">
        <f>IF(ISNUMBER(SEARCH(Cover!$H$13,Table1[[#This Row],[School District]])),MAX($A$1:A966)+1,0)</f>
        <v>0</v>
      </c>
      <c r="B967" s="661" t="s">
        <v>1192</v>
      </c>
      <c r="C967" s="1599">
        <v>33048210026</v>
      </c>
      <c r="D967" s="664">
        <v>26</v>
      </c>
      <c r="E967" t="str">
        <f>IF(OR(Table1[[#This Row],[Type]]=0,Table1[[#This Row],[Type]]&gt;=40),"JA","SD")</f>
        <v>SD</v>
      </c>
      <c r="F967" t="s">
        <v>3250</v>
      </c>
      <c r="G967" s="661" t="s">
        <v>2994</v>
      </c>
      <c r="J967" s="653" t="str">
        <f>IFERROR(VLOOKUP(ROWS($J$2:J967),$A$2:$B$996,2,FALSE),"")</f>
        <v/>
      </c>
    </row>
    <row r="968" spans="1:10" ht="12.75" customHeight="1" x14ac:dyDescent="0.2">
      <c r="A968">
        <f>IF(ISNUMBER(SEARCH(Cover!$H$13,Table1[[#This Row],[School District]])),MAX($A$1:A967)+1,0)</f>
        <v>0</v>
      </c>
      <c r="B968" t="s">
        <v>1684</v>
      </c>
      <c r="C968" s="1599">
        <v>21100801046</v>
      </c>
      <c r="D968" s="664">
        <v>46</v>
      </c>
      <c r="E968" t="str">
        <f>IF(OR(Table1[[#This Row],[Type]]=0,Table1[[#This Row],[Type]]&gt;=40),"JA","SD")</f>
        <v>JA</v>
      </c>
      <c r="F968" t="s">
        <v>1833</v>
      </c>
      <c r="G968" s="661" t="s">
        <v>2995</v>
      </c>
      <c r="J968" s="653" t="str">
        <f>IFERROR(VLOOKUP(ROWS($J$2:J968),$A$2:$B$996,2,FALSE),"")</f>
        <v/>
      </c>
    </row>
    <row r="969" spans="1:10" ht="12.75" customHeight="1" x14ac:dyDescent="0.2">
      <c r="A969">
        <f>IF(ISNUMBER(SEARCH(Cover!$H$13,Table1[[#This Row],[School District]])),MAX($A$1:A968)+1,0)</f>
        <v>0</v>
      </c>
      <c r="B969" t="s">
        <v>1685</v>
      </c>
      <c r="C969" s="1599">
        <v>21100801060</v>
      </c>
      <c r="D969" s="664">
        <v>60</v>
      </c>
      <c r="E969" t="str">
        <f>IF(OR(Table1[[#This Row],[Type]]=0,Table1[[#This Row],[Type]]&gt;=40),"JA","SD")</f>
        <v>JA</v>
      </c>
      <c r="F969" t="s">
        <v>1833</v>
      </c>
      <c r="G969" s="661" t="s">
        <v>2996</v>
      </c>
      <c r="J969" s="653" t="str">
        <f>IFERROR(VLOOKUP(ROWS($J$2:J969),$A$2:$B$996,2,FALSE),"")</f>
        <v/>
      </c>
    </row>
    <row r="970" spans="1:10" ht="12.75" customHeight="1" x14ac:dyDescent="0.2">
      <c r="A970">
        <f>IF(ISNUMBER(SEARCH(Cover!$H$13,Table1[[#This Row],[School District]])),MAX($A$1:A969)+1,0)</f>
        <v>0</v>
      </c>
      <c r="B970" s="661" t="s">
        <v>993</v>
      </c>
      <c r="C970" s="1599">
        <v>51084015026</v>
      </c>
      <c r="D970" s="664">
        <v>26</v>
      </c>
      <c r="E970" t="str">
        <f>IF(OR(Table1[[#This Row],[Type]]=0,Table1[[#This Row],[Type]]&gt;=40),"JA","SD")</f>
        <v>SD</v>
      </c>
      <c r="F970" t="s">
        <v>1788</v>
      </c>
      <c r="G970" s="661" t="s">
        <v>2997</v>
      </c>
      <c r="J970" s="653" t="str">
        <f>IFERROR(VLOOKUP(ROWS($J$2:J970),$A$2:$B$996,2,FALSE),"")</f>
        <v/>
      </c>
    </row>
    <row r="971" spans="1:10" ht="12.75" customHeight="1" x14ac:dyDescent="0.2">
      <c r="A971">
        <f>IF(ISNUMBER(SEARCH(Cover!$H$13,Table1[[#This Row],[School District]])),MAX($A$1:A970)+1,0)</f>
        <v>0</v>
      </c>
      <c r="B971" s="661" t="s">
        <v>1411</v>
      </c>
      <c r="C971" s="1599">
        <v>13014046002</v>
      </c>
      <c r="D971" s="664">
        <v>2</v>
      </c>
      <c r="E971" t="str">
        <f>IF(OR(Table1[[#This Row],[Type]]=0,Table1[[#This Row],[Type]]&gt;=40),"JA","SD")</f>
        <v>SD</v>
      </c>
      <c r="F971" t="s">
        <v>1768</v>
      </c>
      <c r="G971" s="661" t="s">
        <v>2998</v>
      </c>
      <c r="J971" s="653" t="str">
        <f>IFERROR(VLOOKUP(ROWS($J$2:J971),$A$2:$B$996,2,FALSE),"")</f>
        <v/>
      </c>
    </row>
    <row r="972" spans="1:10" ht="12.75" customHeight="1" x14ac:dyDescent="0.2">
      <c r="A972">
        <f>IF(ISNUMBER(SEARCH(Cover!$H$13,Table1[[#This Row],[School District]])),MAX($A$1:A971)+1,0)</f>
        <v>0</v>
      </c>
      <c r="B972" s="661" t="s">
        <v>1519</v>
      </c>
      <c r="C972" s="1599">
        <v>7016108002</v>
      </c>
      <c r="D972" s="664">
        <v>2</v>
      </c>
      <c r="E972" t="str">
        <f>IF(OR(Table1[[#This Row],[Type]]=0,Table1[[#This Row],[Type]]&gt;=40),"JA","SD")</f>
        <v>SD</v>
      </c>
      <c r="F972" t="s">
        <v>1766</v>
      </c>
      <c r="G972" s="661" t="s">
        <v>2999</v>
      </c>
      <c r="J972" s="653" t="str">
        <f>IFERROR(VLOOKUP(ROWS($J$2:J972),$A$2:$B$996,2,FALSE),"")</f>
        <v/>
      </c>
    </row>
    <row r="973" spans="1:10" ht="12.75" customHeight="1" x14ac:dyDescent="0.2">
      <c r="A973">
        <f>IF(ISNUMBER(SEARCH(Cover!$H$13,Table1[[#This Row],[School District]])),MAX($A$1:A972)+1,0)</f>
        <v>0</v>
      </c>
      <c r="B973" t="s">
        <v>2026</v>
      </c>
      <c r="C973" s="1599">
        <v>5016039061</v>
      </c>
      <c r="D973" s="664">
        <v>61</v>
      </c>
      <c r="E973" t="str">
        <f>IF(OR(Table1[[#This Row],[Type]]=0,Table1[[#This Row],[Type]]&gt;=40),"JA","SD")</f>
        <v>JA</v>
      </c>
      <c r="F973" t="s">
        <v>1766</v>
      </c>
      <c r="G973" s="661" t="s">
        <v>3000</v>
      </c>
      <c r="J973" s="653" t="str">
        <f>IFERROR(VLOOKUP(ROWS($J$2:J973),$A$2:$B$996,2,FALSE),"")</f>
        <v/>
      </c>
    </row>
    <row r="974" spans="1:10" x14ac:dyDescent="0.2">
      <c r="A974">
        <f>IF(ISNUMBER(SEARCH(Cover!$H$13,Table1[[#This Row],[School District]])),MAX($A$1:A973)+1,0)</f>
        <v>0</v>
      </c>
      <c r="B974" s="661" t="s">
        <v>1572</v>
      </c>
      <c r="C974" s="1599">
        <v>5016039002</v>
      </c>
      <c r="D974" s="664">
        <v>2</v>
      </c>
      <c r="E974" t="str">
        <f>IF(OR(Table1[[#This Row],[Type]]=0,Table1[[#This Row],[Type]]&gt;=40),"JA","SD")</f>
        <v>SD</v>
      </c>
      <c r="F974" t="s">
        <v>1766</v>
      </c>
      <c r="G974" s="661" t="s">
        <v>3001</v>
      </c>
      <c r="J974" s="653" t="str">
        <f>IFERROR(VLOOKUP(ROWS($J$2:J974),$A$2:$B$996,2,FALSE),"")</f>
        <v/>
      </c>
    </row>
    <row r="975" spans="1:10" ht="12.75" customHeight="1" x14ac:dyDescent="0.2">
      <c r="A975">
        <f>IF(ISNUMBER(SEARCH(Cover!$H$13,Table1[[#This Row],[School District]])),MAX($A$1:A974)+1,0)</f>
        <v>0</v>
      </c>
      <c r="B975" s="661" t="s">
        <v>904</v>
      </c>
      <c r="C975" s="1599" t="s">
        <v>905</v>
      </c>
      <c r="D975" s="664">
        <v>26</v>
      </c>
      <c r="E975" t="str">
        <f>IF(OR(Table1[[#This Row],[Type]]=0,Table1[[#This Row],[Type]]&gt;=40),"JA","SD")</f>
        <v>SD</v>
      </c>
      <c r="F975" t="s">
        <v>1793</v>
      </c>
      <c r="G975" s="661" t="s">
        <v>3002</v>
      </c>
      <c r="J975" s="653" t="str">
        <f>IFERROR(VLOOKUP(ROWS($J$2:J975),$A$2:$B$996,2,FALSE),"")</f>
        <v/>
      </c>
    </row>
    <row r="976" spans="1:10" ht="12.75" customHeight="1" x14ac:dyDescent="0.2">
      <c r="A976">
        <f>IF(ISNUMBER(SEARCH(Cover!$H$13,Table1[[#This Row],[School District]])),MAX($A$1:A975)+1,0)</f>
        <v>0</v>
      </c>
      <c r="B976" s="661" t="s">
        <v>1618</v>
      </c>
      <c r="C976" s="1599">
        <v>1086001026</v>
      </c>
      <c r="D976" s="664">
        <v>26</v>
      </c>
      <c r="E976" t="str">
        <f>IF(OR(Table1[[#This Row],[Type]]=0,Table1[[#This Row],[Type]]&gt;=40),"JA","SD")</f>
        <v>SD</v>
      </c>
      <c r="F976" t="s">
        <v>3251</v>
      </c>
      <c r="G976" s="661" t="s">
        <v>3003</v>
      </c>
      <c r="J976" s="653" t="str">
        <f>IFERROR(VLOOKUP(ROWS($J$2:J976),$A$2:$B$996,2,FALSE),"")</f>
        <v/>
      </c>
    </row>
    <row r="977" spans="1:10" ht="12.75" customHeight="1" x14ac:dyDescent="0.2">
      <c r="A977">
        <f>IF(ISNUMBER(SEARCH(Cover!$H$13,Table1[[#This Row],[School District]])),MAX($A$1:A976)+1,0)</f>
        <v>0</v>
      </c>
      <c r="B977" s="661" t="s">
        <v>1424</v>
      </c>
      <c r="C977" s="1599">
        <v>11087001026</v>
      </c>
      <c r="D977" s="664">
        <v>26</v>
      </c>
      <c r="E977" t="str">
        <f>IF(OR(Table1[[#This Row],[Type]]=0,Table1[[#This Row],[Type]]&gt;=40),"JA","SD")</f>
        <v>SD</v>
      </c>
      <c r="F977" t="s">
        <v>1841</v>
      </c>
      <c r="G977" s="661" t="s">
        <v>3004</v>
      </c>
      <c r="J977" s="653" t="str">
        <f>IFERROR(VLOOKUP(ROWS($J$2:J977),$A$2:$B$996,2,FALSE),"")</f>
        <v/>
      </c>
    </row>
    <row r="978" spans="1:10" ht="12.75" customHeight="1" x14ac:dyDescent="0.2">
      <c r="A978">
        <f>IF(ISNUMBER(SEARCH(Cover!$H$13,Table1[[#This Row],[School District]])),MAX($A$1:A977)+1,0)</f>
        <v>0</v>
      </c>
      <c r="B978" s="661" t="s">
        <v>1336</v>
      </c>
      <c r="C978" s="1599">
        <v>19022034002</v>
      </c>
      <c r="D978" s="664">
        <v>2</v>
      </c>
      <c r="E978" t="str">
        <f>IF(OR(Table1[[#This Row],[Type]]=0,Table1[[#This Row],[Type]]&gt;=40),"JA","SD")</f>
        <v>SD</v>
      </c>
      <c r="F978" t="s">
        <v>3143</v>
      </c>
      <c r="G978" s="661" t="s">
        <v>3005</v>
      </c>
      <c r="J978" s="653" t="str">
        <f>IFERROR(VLOOKUP(ROWS($J$2:J978),$A$2:$B$996,2,FALSE),"")</f>
        <v/>
      </c>
    </row>
    <row r="979" spans="1:10" ht="12.75" customHeight="1" x14ac:dyDescent="0.2">
      <c r="A979">
        <f>IF(ISNUMBER(SEARCH(Cover!$H$13,Table1[[#This Row],[School District]])),MAX($A$1:A978)+1,0)</f>
        <v>0</v>
      </c>
      <c r="B979" t="s">
        <v>1642</v>
      </c>
      <c r="C979" s="1599">
        <v>4101140061</v>
      </c>
      <c r="D979" s="664">
        <v>61</v>
      </c>
      <c r="E979" t="str">
        <f>IF(OR(Table1[[#This Row],[Type]]=0,Table1[[#This Row],[Type]]&gt;=40),"JA","SD")</f>
        <v>JA</v>
      </c>
      <c r="F979" t="s">
        <v>1828</v>
      </c>
      <c r="G979" s="661" t="s">
        <v>3006</v>
      </c>
      <c r="J979" s="653" t="str">
        <f>IFERROR(VLOOKUP(ROWS($J$2:J979),$A$2:$B$996,2,FALSE),"")</f>
        <v/>
      </c>
    </row>
    <row r="980" spans="1:10" ht="12.75" customHeight="1" x14ac:dyDescent="0.2">
      <c r="A980">
        <f>IF(ISNUMBER(SEARCH(Cover!$H$13,Table1[[#This Row],[School District]])),MAX($A$1:A979)+1,0)</f>
        <v>0</v>
      </c>
      <c r="B980" s="661" t="s">
        <v>1588</v>
      </c>
      <c r="C980" s="1599">
        <v>4101323026</v>
      </c>
      <c r="D980" s="664">
        <v>26</v>
      </c>
      <c r="E980" t="str">
        <f>IF(OR(Table1[[#This Row],[Type]]=0,Table1[[#This Row],[Type]]&gt;=40),"JA","SD")</f>
        <v>SD</v>
      </c>
      <c r="F980" t="s">
        <v>1828</v>
      </c>
      <c r="G980" s="661" t="s">
        <v>3007</v>
      </c>
      <c r="J980" s="653" t="str">
        <f>IFERROR(VLOOKUP(ROWS($J$2:J980),$A$2:$B$996,2,FALSE),"")</f>
        <v/>
      </c>
    </row>
    <row r="981" spans="1:10" ht="12.75" customHeight="1" x14ac:dyDescent="0.2">
      <c r="A981">
        <f>IF(ISNUMBER(SEARCH(Cover!$H$13,Table1[[#This Row],[School District]])),MAX($A$1:A980)+1,0)</f>
        <v>0</v>
      </c>
      <c r="B981" s="661" t="s">
        <v>1575</v>
      </c>
      <c r="C981" s="1599">
        <v>5016036002</v>
      </c>
      <c r="D981" s="664">
        <v>2</v>
      </c>
      <c r="E981" t="str">
        <f>IF(OR(Table1[[#This Row],[Type]]=0,Table1[[#This Row],[Type]]&gt;=40),"JA","SD")</f>
        <v>SD</v>
      </c>
      <c r="F981" t="s">
        <v>1766</v>
      </c>
      <c r="G981" s="661" t="s">
        <v>3008</v>
      </c>
      <c r="J981" s="653" t="str">
        <f>IFERROR(VLOOKUP(ROWS($J$2:J981),$A$2:$B$996,2,FALSE),"")</f>
        <v/>
      </c>
    </row>
    <row r="982" spans="1:10" ht="12.75" customHeight="1" x14ac:dyDescent="0.2">
      <c r="A982">
        <f>IF(ISNUMBER(SEARCH(Cover!$H$13,Table1[[#This Row],[School District]])),MAX($A$1:A981)+1,0)</f>
        <v>0</v>
      </c>
      <c r="B982" s="661" t="s">
        <v>1188</v>
      </c>
      <c r="C982" s="1599">
        <v>34049001002</v>
      </c>
      <c r="D982" s="664">
        <v>2</v>
      </c>
      <c r="E982" t="str">
        <f>IF(OR(Table1[[#This Row],[Type]]=0,Table1[[#This Row],[Type]]&gt;=40),"JA","SD")</f>
        <v>SD</v>
      </c>
      <c r="F982" t="s">
        <v>1765</v>
      </c>
      <c r="G982" s="661" t="s">
        <v>3009</v>
      </c>
      <c r="J982" s="653" t="str">
        <f>IFERROR(VLOOKUP(ROWS($J$2:J982),$A$2:$B$996,2,FALSE),"")</f>
        <v/>
      </c>
    </row>
    <row r="983" spans="1:10" ht="12.75" customHeight="1" x14ac:dyDescent="0.2">
      <c r="A983">
        <f>IF(ISNUMBER(SEARCH(Cover!$H$13,Table1[[#This Row],[School District]])),MAX($A$1:A982)+1,0)</f>
        <v>0</v>
      </c>
      <c r="B983" s="661" t="s">
        <v>1015</v>
      </c>
      <c r="C983" s="1599">
        <v>50082113002</v>
      </c>
      <c r="D983" s="664">
        <v>2</v>
      </c>
      <c r="E983" t="str">
        <f>IF(OR(Table1[[#This Row],[Type]]=0,Table1[[#This Row],[Type]]&gt;=40),"JA","SD")</f>
        <v>SD</v>
      </c>
      <c r="F983" t="s">
        <v>3134</v>
      </c>
      <c r="G983" s="661" t="s">
        <v>3010</v>
      </c>
      <c r="J983" s="653" t="str">
        <f>IFERROR(VLOOKUP(ROWS($J$2:J983),$A$2:$B$996,2,FALSE),"")</f>
        <v/>
      </c>
    </row>
    <row r="984" spans="1:10" ht="12.75" customHeight="1" x14ac:dyDescent="0.2">
      <c r="A984">
        <f>IF(ISNUMBER(SEARCH(Cover!$H$13,Table1[[#This Row],[School District]])),MAX($A$1:A983)+1,0)</f>
        <v>0</v>
      </c>
      <c r="B984" s="661" t="s">
        <v>1346</v>
      </c>
      <c r="C984" s="1599">
        <v>19022007002</v>
      </c>
      <c r="D984" s="664">
        <v>2</v>
      </c>
      <c r="E984" t="str">
        <f>IF(OR(Table1[[#This Row],[Type]]=0,Table1[[#This Row],[Type]]&gt;=40),"JA","SD")</f>
        <v>SD</v>
      </c>
      <c r="F984" t="s">
        <v>1764</v>
      </c>
      <c r="G984" s="661" t="s">
        <v>3011</v>
      </c>
      <c r="J984" s="653" t="str">
        <f>IFERROR(VLOOKUP(ROWS($J$2:J984),$A$2:$B$996,2,FALSE),"")</f>
        <v/>
      </c>
    </row>
    <row r="985" spans="1:10" x14ac:dyDescent="0.2">
      <c r="A985">
        <f>IF(ISNUMBER(SEARCH(Cover!$H$13,Table1[[#This Row],[School District]])),MAX($A$1:A984)+1,0)</f>
        <v>0</v>
      </c>
      <c r="B985" s="661" t="s">
        <v>2027</v>
      </c>
      <c r="C985" s="1599">
        <v>41057015003</v>
      </c>
      <c r="D985" s="664">
        <v>3</v>
      </c>
      <c r="E985" t="str">
        <f>IF(OR(Table1[[#This Row],[Type]]=0,Table1[[#This Row],[Type]]&gt;=40),"JA","SD")</f>
        <v>SD</v>
      </c>
      <c r="F985" t="s">
        <v>1774</v>
      </c>
      <c r="G985" s="661" t="s">
        <v>3012</v>
      </c>
      <c r="J985" s="653" t="str">
        <f>IFERROR(VLOOKUP(ROWS($J$2:J985),$A$2:$B$996,2,FALSE),"")</f>
        <v/>
      </c>
    </row>
    <row r="986" spans="1:10" x14ac:dyDescent="0.2">
      <c r="A986">
        <f>IF(ISNUMBER(SEARCH(Cover!$H$13,Table1[[#This Row],[School District]])),MAX($A$1:A985)+1,0)</f>
        <v>0</v>
      </c>
      <c r="B986" t="s">
        <v>1728</v>
      </c>
      <c r="C986" s="1599">
        <v>53102801060</v>
      </c>
      <c r="D986" s="664">
        <v>60</v>
      </c>
      <c r="E986" t="str">
        <f>IF(OR(Table1[[#This Row],[Type]]=0,Table1[[#This Row],[Type]]&gt;=40),"JA","SD")</f>
        <v>JA</v>
      </c>
      <c r="F986" t="s">
        <v>1846</v>
      </c>
      <c r="G986" s="661" t="s">
        <v>3013</v>
      </c>
      <c r="J986" s="653" t="str">
        <f>IFERROR(VLOOKUP(ROWS($J$2:J986),$A$2:$B$996,2,FALSE),"")</f>
        <v/>
      </c>
    </row>
    <row r="987" spans="1:10" x14ac:dyDescent="0.2">
      <c r="A987">
        <f>IF(ISNUMBER(SEARCH(Cover!$H$13,Table1[[#This Row],[School District]])),MAX($A$1:A986)+1,0)</f>
        <v>0</v>
      </c>
      <c r="B987" s="661" t="s">
        <v>1179</v>
      </c>
      <c r="C987" s="1599">
        <v>34049050004</v>
      </c>
      <c r="D987" s="664">
        <v>4</v>
      </c>
      <c r="E987" t="str">
        <f>IF(OR(Table1[[#This Row],[Type]]=0,Table1[[#This Row],[Type]]&gt;=40),"JA","SD")</f>
        <v>SD</v>
      </c>
      <c r="F987" t="s">
        <v>1765</v>
      </c>
      <c r="G987" s="661" t="s">
        <v>3014</v>
      </c>
      <c r="J987" s="653" t="str">
        <f>IFERROR(VLOOKUP(ROWS($J$2:J987),$A$2:$B$996,2,FALSE),"")</f>
        <v/>
      </c>
    </row>
    <row r="988" spans="1:10" x14ac:dyDescent="0.2">
      <c r="A988">
        <f>IF(ISNUMBER(SEARCH(Cover!$H$13,Table1[[#This Row],[School District]])),MAX($A$1:A987)+1,0)</f>
        <v>0</v>
      </c>
      <c r="B988" s="661" t="s">
        <v>1369</v>
      </c>
      <c r="C988" s="1599">
        <v>17053005026</v>
      </c>
      <c r="D988" s="664">
        <v>26</v>
      </c>
      <c r="E988" t="str">
        <f>IF(OR(Table1[[#This Row],[Type]]=0,Table1[[#This Row],[Type]]&gt;=40),"JA","SD")</f>
        <v>SD</v>
      </c>
      <c r="F988" t="s">
        <v>1866</v>
      </c>
      <c r="G988" s="661" t="s">
        <v>3015</v>
      </c>
      <c r="J988" s="653" t="str">
        <f>IFERROR(VLOOKUP(ROWS($J$2:J988),$A$2:$B$996,2,FALSE),"")</f>
        <v/>
      </c>
    </row>
    <row r="989" spans="1:10" x14ac:dyDescent="0.2">
      <c r="A989">
        <f>IF(ISNUMBER(SEARCH(Cover!$H$13,Table1[[#This Row],[School District]])),MAX($A$1:A988)+1,0)</f>
        <v>0</v>
      </c>
      <c r="B989" s="661" t="s">
        <v>2028</v>
      </c>
      <c r="C989" s="1599">
        <v>13041209027</v>
      </c>
      <c r="D989" s="664">
        <v>27</v>
      </c>
      <c r="E989" t="str">
        <f>IF(OR(Table1[[#This Row],[Type]]=0,Table1[[#This Row],[Type]]&gt;=40),"JA","SD")</f>
        <v>SD</v>
      </c>
      <c r="F989" t="s">
        <v>1797</v>
      </c>
      <c r="G989" s="661" t="s">
        <v>3016</v>
      </c>
      <c r="J989" s="653" t="str">
        <f>IFERROR(VLOOKUP(ROWS($J$2:J989),$A$2:$B$996,2,FALSE),"")</f>
        <v/>
      </c>
    </row>
    <row r="990" spans="1:10" x14ac:dyDescent="0.2">
      <c r="A990">
        <f>IF(ISNUMBER(SEARCH(Cover!$H$13,Table1[[#This Row],[School District]])),MAX($A$1:A989)+1,0)</f>
        <v>0</v>
      </c>
      <c r="B990" s="661" t="s">
        <v>1327</v>
      </c>
      <c r="C990" s="1599">
        <v>19022068002</v>
      </c>
      <c r="D990" s="664">
        <v>2</v>
      </c>
      <c r="E990" t="str">
        <f>IF(OR(Table1[[#This Row],[Type]]=0,Table1[[#This Row],[Type]]&gt;=40),"JA","SD")</f>
        <v>SD</v>
      </c>
      <c r="F990" t="s">
        <v>3143</v>
      </c>
      <c r="G990" s="661" t="s">
        <v>3017</v>
      </c>
      <c r="J990" s="653" t="str">
        <f>IFERROR(VLOOKUP(ROWS($J$2:J990),$A$2:$B$996,2,FALSE),"")</f>
        <v/>
      </c>
    </row>
    <row r="991" spans="1:10" x14ac:dyDescent="0.2">
      <c r="A991">
        <f>IF(ISNUMBER(SEARCH(Cover!$H$13,Table1[[#This Row],[School District]])),MAX($A$1:A990)+1,0)</f>
        <v>0</v>
      </c>
      <c r="B991" s="661" t="s">
        <v>1079</v>
      </c>
      <c r="C991" s="1599">
        <v>44063200026</v>
      </c>
      <c r="D991" s="664">
        <v>26</v>
      </c>
      <c r="E991" t="str">
        <f>IF(OR(Table1[[#This Row],[Type]]=0,Table1[[#This Row],[Type]]&gt;=40),"JA","SD")</f>
        <v>SD</v>
      </c>
      <c r="F991" t="s">
        <v>1769</v>
      </c>
      <c r="G991" s="661" t="s">
        <v>3018</v>
      </c>
      <c r="J991" s="653" t="str">
        <f>IFERROR(VLOOKUP(ROWS($J$2:J991),$A$2:$B$996,2,FALSE),"")</f>
        <v/>
      </c>
    </row>
    <row r="992" spans="1:10" x14ac:dyDescent="0.2">
      <c r="A992">
        <f>IF(ISNUMBER(SEARCH(Cover!$H$13,Table1[[#This Row],[School District]])),MAX($A$1:A991)+1,0)</f>
        <v>0</v>
      </c>
      <c r="B992" s="661" t="s">
        <v>1509</v>
      </c>
      <c r="C992" s="1599">
        <v>7016127002</v>
      </c>
      <c r="D992" s="664">
        <v>2</v>
      </c>
      <c r="E992" t="str">
        <f>IF(OR(Table1[[#This Row],[Type]]=0,Table1[[#This Row],[Type]]&gt;=40),"JA","SD")</f>
        <v>SD</v>
      </c>
      <c r="F992" t="s">
        <v>1766</v>
      </c>
      <c r="G992" s="661" t="s">
        <v>3019</v>
      </c>
      <c r="J992" s="653" t="str">
        <f>IFERROR(VLOOKUP(ROWS($J$2:J992),$A$2:$B$996,2,FALSE),"")</f>
        <v/>
      </c>
    </row>
    <row r="993" spans="1:10" x14ac:dyDescent="0.2">
      <c r="A993">
        <f>IF(ISNUMBER(SEARCH(Cover!$H$13,Table1[[#This Row],[School District]])),MAX($A$1:A992)+1,0)</f>
        <v>0</v>
      </c>
      <c r="B993" s="661" t="s">
        <v>1270</v>
      </c>
      <c r="C993" s="1599">
        <v>24047115026</v>
      </c>
      <c r="D993" s="664">
        <v>26</v>
      </c>
      <c r="E993" t="str">
        <f>IF(OR(Table1[[#This Row],[Type]]=0,Table1[[#This Row],[Type]]&gt;=40),"JA","SD")</f>
        <v>SD</v>
      </c>
      <c r="F993" t="s">
        <v>3252</v>
      </c>
      <c r="G993" s="661" t="s">
        <v>3020</v>
      </c>
      <c r="J993" s="653" t="str">
        <f>IFERROR(VLOOKUP(ROWS($J$2:J993),$A$2:$B$996,2,FALSE),"")</f>
        <v/>
      </c>
    </row>
    <row r="994" spans="1:10" x14ac:dyDescent="0.2">
      <c r="A994">
        <f>IF(ISNUMBER(SEARCH(Cover!$H$13,Table1[[#This Row],[School District]])),MAX($A$1:A993)+1,0)</f>
        <v>0</v>
      </c>
      <c r="B994" s="661" t="s">
        <v>1293</v>
      </c>
      <c r="C994" s="1599">
        <v>21028188026</v>
      </c>
      <c r="D994" s="664">
        <v>26</v>
      </c>
      <c r="E994" t="str">
        <f>IF(OR(Table1[[#This Row],[Type]]=0,Table1[[#This Row],[Type]]&gt;=40),"JA","SD")</f>
        <v>SD</v>
      </c>
      <c r="F994" t="s">
        <v>1767</v>
      </c>
      <c r="G994" s="661" t="s">
        <v>3021</v>
      </c>
      <c r="J994" s="653" t="str">
        <f>IFERROR(VLOOKUP(ROWS($J$2:J994),$A$2:$B$996,2,FALSE),"")</f>
        <v/>
      </c>
    </row>
    <row r="995" spans="1:10" x14ac:dyDescent="0.2">
      <c r="A995">
        <f>IF(ISNUMBER(SEARCH(Cover!$H$13,Table1[[#This Row],[School District]])),MAX($A$1:A994)+1,0)</f>
        <v>0</v>
      </c>
      <c r="B995" s="661" t="s">
        <v>1187</v>
      </c>
      <c r="C995" s="1599">
        <v>34049006002</v>
      </c>
      <c r="D995" s="664">
        <v>2</v>
      </c>
      <c r="E995" t="str">
        <f>IF(OR(Table1[[#This Row],[Type]]=0,Table1[[#This Row],[Type]]&gt;=40),"JA","SD")</f>
        <v>SD</v>
      </c>
      <c r="F995" t="s">
        <v>1765</v>
      </c>
      <c r="G995" s="661" t="s">
        <v>3022</v>
      </c>
      <c r="J995" s="653" t="str">
        <f>IFERROR(VLOOKUP(ROWS($J$2:J995),$A$2:$B$996,2,FALSE),"")</f>
        <v/>
      </c>
    </row>
    <row r="996" spans="1:10" x14ac:dyDescent="0.2">
      <c r="A996">
        <f>IF(ISNUMBER(SEARCH(Cover!$H$13,Table1[[#This Row],[School District]])),MAX($A$1:A995)+1,0)</f>
        <v>0</v>
      </c>
      <c r="B996" s="661" t="s">
        <v>1152</v>
      </c>
      <c r="C996" s="1599">
        <v>34049126017</v>
      </c>
      <c r="D996" s="664">
        <v>17</v>
      </c>
      <c r="E996" t="str">
        <f>IF(OR(Table1[[#This Row],[Type]]=0,Table1[[#This Row],[Type]]&gt;=40),"JA","SD")</f>
        <v>SD</v>
      </c>
      <c r="F996" t="s">
        <v>1765</v>
      </c>
      <c r="G996" s="661" t="s">
        <v>3023</v>
      </c>
      <c r="J996" s="653" t="str">
        <f>IFERROR(VLOOKUP(ROWS($J$2:J996),$A$2:$B$996,2,FALSE),"")</f>
        <v/>
      </c>
    </row>
  </sheetData>
  <phoneticPr fontId="6"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N133"/>
  <sheetViews>
    <sheetView showGridLines="0" zoomScaleNormal="100" workbookViewId="0">
      <pane ySplit="2" topLeftCell="A3" activePane="bottomLeft" state="frozen"/>
      <selection pane="bottomLeft" activeCell="K4" sqref="K4"/>
    </sheetView>
  </sheetViews>
  <sheetFormatPr defaultColWidth="9.140625" defaultRowHeight="9" x14ac:dyDescent="0.15"/>
  <cols>
    <col min="1" max="1" width="49.7109375" style="714" customWidth="1"/>
    <col min="2" max="2" width="4.7109375" style="788" customWidth="1"/>
    <col min="3" max="9" width="13.7109375" style="714" customWidth="1"/>
    <col min="10" max="11" width="13.7109375" style="769" customWidth="1"/>
    <col min="12" max="12" width="13.7109375" style="714" customWidth="1"/>
    <col min="13" max="16384" width="9.140625" style="714"/>
  </cols>
  <sheetData>
    <row r="1" spans="1:11" ht="12.75" customHeight="1" x14ac:dyDescent="0.2">
      <c r="A1" s="816" t="s">
        <v>3116</v>
      </c>
      <c r="B1" s="817"/>
      <c r="C1" s="818" t="s">
        <v>232</v>
      </c>
      <c r="D1" s="819" t="s">
        <v>233</v>
      </c>
      <c r="E1" s="819" t="s">
        <v>428</v>
      </c>
      <c r="F1" s="819" t="s">
        <v>429</v>
      </c>
      <c r="G1" s="819" t="s">
        <v>430</v>
      </c>
      <c r="H1" s="819" t="s">
        <v>431</v>
      </c>
      <c r="I1" s="819" t="s">
        <v>432</v>
      </c>
      <c r="J1" s="819" t="s">
        <v>433</v>
      </c>
      <c r="K1" s="819" t="s">
        <v>434</v>
      </c>
    </row>
    <row r="2" spans="1:11" ht="36" customHeight="1" x14ac:dyDescent="0.15">
      <c r="A2" s="820" t="s">
        <v>744</v>
      </c>
      <c r="B2" s="821" t="s">
        <v>445</v>
      </c>
      <c r="C2" s="822" t="s">
        <v>266</v>
      </c>
      <c r="D2" s="823" t="s">
        <v>234</v>
      </c>
      <c r="E2" s="823" t="s">
        <v>372</v>
      </c>
      <c r="F2" s="823" t="s">
        <v>435</v>
      </c>
      <c r="G2" s="824" t="s">
        <v>351</v>
      </c>
      <c r="H2" s="824" t="s">
        <v>373</v>
      </c>
      <c r="I2" s="824" t="s">
        <v>437</v>
      </c>
      <c r="J2" s="824" t="s">
        <v>374</v>
      </c>
      <c r="K2" s="824" t="s">
        <v>438</v>
      </c>
    </row>
    <row r="3" spans="1:11" s="726" customFormat="1" ht="26.25" x14ac:dyDescent="0.2">
      <c r="A3" s="789" t="s">
        <v>3103</v>
      </c>
      <c r="B3" s="815"/>
      <c r="C3" s="205">
        <v>23388590</v>
      </c>
      <c r="D3" s="205">
        <v>2879273</v>
      </c>
      <c r="E3" s="205">
        <v>775333</v>
      </c>
      <c r="F3" s="205">
        <v>2579010</v>
      </c>
      <c r="G3" s="205">
        <v>457822</v>
      </c>
      <c r="H3" s="205">
        <v>2394667</v>
      </c>
      <c r="I3" s="205">
        <v>4147137</v>
      </c>
      <c r="J3" s="205">
        <v>840</v>
      </c>
      <c r="K3" s="205">
        <v>0</v>
      </c>
    </row>
    <row r="4" spans="1:11" s="708" customFormat="1" ht="18" customHeight="1" x14ac:dyDescent="0.2">
      <c r="A4" s="706" t="s">
        <v>766</v>
      </c>
      <c r="B4" s="707"/>
      <c r="C4" s="206"/>
      <c r="D4" s="206"/>
      <c r="E4" s="206"/>
      <c r="F4" s="206"/>
      <c r="G4" s="206"/>
      <c r="H4" s="206"/>
      <c r="I4" s="206"/>
      <c r="J4" s="206"/>
      <c r="K4" s="284"/>
    </row>
    <row r="5" spans="1:11" s="726" customFormat="1" ht="12.75" customHeight="1" x14ac:dyDescent="0.2">
      <c r="A5" s="727" t="s">
        <v>303</v>
      </c>
      <c r="B5" s="728">
        <v>1000</v>
      </c>
      <c r="C5" s="207">
        <f>'EstRev 6-11'!D111</f>
        <v>71749500</v>
      </c>
      <c r="D5" s="207">
        <f>'EstRev 6-11'!E111</f>
        <v>8220000</v>
      </c>
      <c r="E5" s="207">
        <f>'EstRev 6-11'!F111</f>
        <v>3619000</v>
      </c>
      <c r="F5" s="207">
        <f>'EstRev 6-11'!G111</f>
        <v>842000</v>
      </c>
      <c r="G5" s="207">
        <f>'EstRev 6-11'!H111</f>
        <v>3400000</v>
      </c>
      <c r="H5" s="207">
        <f>'EstRev 6-11'!I111</f>
        <v>1400000</v>
      </c>
      <c r="I5" s="207">
        <f>'EstRev 6-11'!J111</f>
        <v>0</v>
      </c>
      <c r="J5" s="207">
        <f>'EstRev 6-11'!K111</f>
        <v>360000</v>
      </c>
      <c r="K5" s="207">
        <f>'EstRev 6-11'!L111</f>
        <v>0</v>
      </c>
    </row>
    <row r="6" spans="1:11" s="726" customFormat="1" ht="24" x14ac:dyDescent="0.2">
      <c r="A6" s="729" t="s">
        <v>737</v>
      </c>
      <c r="B6" s="730">
        <v>2000</v>
      </c>
      <c r="C6" s="652">
        <f>'EstRev 6-11'!D117</f>
        <v>0</v>
      </c>
      <c r="D6" s="207">
        <f>'EstRev 6-11'!E117</f>
        <v>0</v>
      </c>
      <c r="E6" s="208"/>
      <c r="F6" s="207">
        <f>'EstRev 6-11'!G117</f>
        <v>0</v>
      </c>
      <c r="G6" s="207">
        <f>'EstRev 6-11'!H117</f>
        <v>0</v>
      </c>
      <c r="H6" s="208"/>
      <c r="I6" s="208"/>
      <c r="J6" s="208"/>
      <c r="K6" s="208"/>
    </row>
    <row r="7" spans="1:11" s="726" customFormat="1" ht="12.75" customHeight="1" x14ac:dyDescent="0.2">
      <c r="A7" s="731" t="s">
        <v>447</v>
      </c>
      <c r="B7" s="730">
        <v>3000</v>
      </c>
      <c r="C7" s="207">
        <f>'EstRev 6-11'!D172</f>
        <v>3714500</v>
      </c>
      <c r="D7" s="207">
        <f>'EstRev 6-11'!E172</f>
        <v>0</v>
      </c>
      <c r="E7" s="207">
        <f>'EstRev 6-11'!F172</f>
        <v>0</v>
      </c>
      <c r="F7" s="207">
        <f>'EstRev 6-11'!G172</f>
        <v>408000</v>
      </c>
      <c r="G7" s="207">
        <f>'EstRev 6-11'!H172</f>
        <v>0</v>
      </c>
      <c r="H7" s="207">
        <f>'EstRev 6-11'!I172</f>
        <v>0</v>
      </c>
      <c r="I7" s="207">
        <f>'EstRev 6-11'!J172</f>
        <v>0</v>
      </c>
      <c r="J7" s="207">
        <f>'EstRev 6-11'!K172</f>
        <v>0</v>
      </c>
      <c r="K7" s="207">
        <f>'EstRev 6-11'!L172</f>
        <v>0</v>
      </c>
    </row>
    <row r="8" spans="1:11" s="711" customFormat="1" ht="12.75" customHeight="1" x14ac:dyDescent="0.2">
      <c r="A8" s="731" t="s">
        <v>448</v>
      </c>
      <c r="B8" s="732">
        <v>4000</v>
      </c>
      <c r="C8" s="209">
        <f>'EstRev 6-11'!D269</f>
        <v>3780000</v>
      </c>
      <c r="D8" s="209">
        <f>'EstRev 6-11'!E269</f>
        <v>0</v>
      </c>
      <c r="E8" s="209">
        <f>'EstRev 6-11'!F269</f>
        <v>0</v>
      </c>
      <c r="F8" s="209">
        <f>'EstRev 6-11'!G269</f>
        <v>0</v>
      </c>
      <c r="G8" s="209">
        <f>'EstRev 6-11'!H269</f>
        <v>0</v>
      </c>
      <c r="H8" s="209">
        <f>'EstRev 6-11'!I269</f>
        <v>1380000</v>
      </c>
      <c r="I8" s="209">
        <f>'EstRev 6-11'!J269</f>
        <v>0</v>
      </c>
      <c r="J8" s="209">
        <f>'EstRev 6-11'!K269</f>
        <v>0</v>
      </c>
      <c r="K8" s="209">
        <f>'EstRev 6-11'!L269</f>
        <v>0</v>
      </c>
    </row>
    <row r="9" spans="1:11" s="711" customFormat="1" ht="13.5" thickBot="1" x14ac:dyDescent="0.25">
      <c r="A9" s="733" t="s">
        <v>675</v>
      </c>
      <c r="B9" s="734"/>
      <c r="C9" s="210">
        <f>SUM(C5:C8)</f>
        <v>79244000</v>
      </c>
      <c r="D9" s="210">
        <f t="shared" ref="D9:K9" si="0">SUM(D5:D8)</f>
        <v>8220000</v>
      </c>
      <c r="E9" s="210">
        <f t="shared" si="0"/>
        <v>3619000</v>
      </c>
      <c r="F9" s="210">
        <f t="shared" si="0"/>
        <v>1250000</v>
      </c>
      <c r="G9" s="210">
        <f t="shared" si="0"/>
        <v>3400000</v>
      </c>
      <c r="H9" s="210">
        <f t="shared" si="0"/>
        <v>2780000</v>
      </c>
      <c r="I9" s="210">
        <f t="shared" si="0"/>
        <v>0</v>
      </c>
      <c r="J9" s="210">
        <f t="shared" si="0"/>
        <v>360000</v>
      </c>
      <c r="K9" s="210">
        <f t="shared" si="0"/>
        <v>0</v>
      </c>
    </row>
    <row r="10" spans="1:11" s="711" customFormat="1" ht="15.75" thickTop="1" x14ac:dyDescent="0.2">
      <c r="A10" s="735" t="s">
        <v>676</v>
      </c>
      <c r="B10" s="736">
        <v>3998</v>
      </c>
      <c r="C10" s="825"/>
      <c r="D10" s="825"/>
      <c r="E10" s="825"/>
      <c r="F10" s="825"/>
      <c r="G10" s="825"/>
      <c r="H10" s="825"/>
      <c r="I10" s="211"/>
      <c r="J10" s="825"/>
      <c r="K10" s="825"/>
    </row>
    <row r="11" spans="1:11" s="711" customFormat="1" ht="12.75" customHeight="1" thickBot="1" x14ac:dyDescent="0.25">
      <c r="A11" s="733" t="s">
        <v>446</v>
      </c>
      <c r="B11" s="738"/>
      <c r="C11" s="212">
        <f>SUM(C9:C10)</f>
        <v>79244000</v>
      </c>
      <c r="D11" s="212">
        <f t="shared" ref="D11:K11" si="1">SUM(D9:D10)</f>
        <v>8220000</v>
      </c>
      <c r="E11" s="212">
        <f t="shared" si="1"/>
        <v>3619000</v>
      </c>
      <c r="F11" s="212">
        <f t="shared" si="1"/>
        <v>1250000</v>
      </c>
      <c r="G11" s="212">
        <f t="shared" si="1"/>
        <v>3400000</v>
      </c>
      <c r="H11" s="212">
        <f t="shared" si="1"/>
        <v>2780000</v>
      </c>
      <c r="I11" s="212">
        <f t="shared" si="1"/>
        <v>0</v>
      </c>
      <c r="J11" s="212">
        <f t="shared" si="1"/>
        <v>360000</v>
      </c>
      <c r="K11" s="212">
        <f t="shared" si="1"/>
        <v>0</v>
      </c>
    </row>
    <row r="12" spans="1:11" ht="18" customHeight="1" thickTop="1" x14ac:dyDescent="0.2">
      <c r="A12" s="712" t="s">
        <v>767</v>
      </c>
      <c r="B12" s="713"/>
      <c r="C12" s="213"/>
      <c r="D12" s="213"/>
      <c r="E12" s="213"/>
      <c r="F12" s="213"/>
      <c r="G12" s="213"/>
      <c r="H12" s="213"/>
      <c r="I12" s="213"/>
      <c r="J12" s="213"/>
      <c r="K12" s="271"/>
    </row>
    <row r="13" spans="1:11" ht="12.75" customHeight="1" x14ac:dyDescent="0.2">
      <c r="A13" s="739" t="s">
        <v>249</v>
      </c>
      <c r="B13" s="740" t="s">
        <v>240</v>
      </c>
      <c r="C13" s="214">
        <f>'EstExp 12-20'!L34</f>
        <v>52205850</v>
      </c>
      <c r="D13" s="215"/>
      <c r="E13" s="215"/>
      <c r="F13" s="215"/>
      <c r="G13" s="216">
        <f>'EstExp 12-20'!L233</f>
        <v>3400000</v>
      </c>
      <c r="H13" s="217"/>
      <c r="I13" s="215"/>
      <c r="J13" s="209">
        <f>'EstExp 12-20'!L344</f>
        <v>0</v>
      </c>
      <c r="K13" s="215"/>
    </row>
    <row r="14" spans="1:11" ht="12.75" customHeight="1" x14ac:dyDescent="0.2">
      <c r="A14" s="731" t="s">
        <v>129</v>
      </c>
      <c r="B14" s="741">
        <v>2000</v>
      </c>
      <c r="C14" s="218">
        <f>'EstExp 12-20'!L76</f>
        <v>25836150</v>
      </c>
      <c r="D14" s="209">
        <f>'EstExp 12-20'!L133</f>
        <v>8170500</v>
      </c>
      <c r="E14" s="219"/>
      <c r="F14" s="209">
        <f>'EstExp 12-20'!L188</f>
        <v>1250000</v>
      </c>
      <c r="G14" s="209">
        <f>'EstExp 12-20'!L276</f>
        <v>0</v>
      </c>
      <c r="H14" s="209">
        <f>'EstExp 12-20'!L300</f>
        <v>3880000</v>
      </c>
      <c r="I14" s="219"/>
      <c r="J14" s="209">
        <f>'EstExp 12-20'!L387</f>
        <v>360000</v>
      </c>
      <c r="K14" s="209">
        <f>'EstExp 12-20'!L438</f>
        <v>0</v>
      </c>
    </row>
    <row r="15" spans="1:11" ht="12.75" customHeight="1" x14ac:dyDescent="0.2">
      <c r="A15" s="731" t="s">
        <v>516</v>
      </c>
      <c r="B15" s="741">
        <v>3000</v>
      </c>
      <c r="C15" s="218">
        <f>'EstExp 12-20'!L77</f>
        <v>0</v>
      </c>
      <c r="D15" s="209">
        <f>'EstExp 12-20'!L134</f>
        <v>49500</v>
      </c>
      <c r="E15" s="219"/>
      <c r="F15" s="209">
        <f>'EstExp 12-20'!L189</f>
        <v>0</v>
      </c>
      <c r="G15" s="209">
        <f>'EstExp 12-20'!L277</f>
        <v>0</v>
      </c>
      <c r="H15" s="220"/>
      <c r="I15" s="219"/>
      <c r="J15" s="209">
        <f>'EstExp 12-20'!L388</f>
        <v>0</v>
      </c>
      <c r="K15" s="220"/>
    </row>
    <row r="16" spans="1:11" s="711" customFormat="1" ht="12.75" customHeight="1" x14ac:dyDescent="0.2">
      <c r="A16" s="731" t="s">
        <v>46</v>
      </c>
      <c r="B16" s="741">
        <v>4000</v>
      </c>
      <c r="C16" s="218">
        <f>'EstExp 12-20'!L104</f>
        <v>1202000</v>
      </c>
      <c r="D16" s="209">
        <f>'EstExp 12-20'!L143</f>
        <v>0</v>
      </c>
      <c r="E16" s="218">
        <f>'EstExp 12-20'!L164</f>
        <v>0</v>
      </c>
      <c r="F16" s="209">
        <f>'EstExp 12-20'!L200</f>
        <v>0</v>
      </c>
      <c r="G16" s="209">
        <f>'EstExp 12-20'!L282</f>
        <v>0</v>
      </c>
      <c r="H16" s="209">
        <f>'EstExp 12-20'!L307</f>
        <v>0</v>
      </c>
      <c r="I16" s="219"/>
      <c r="J16" s="221">
        <f>'EstExp 12-20'!L415</f>
        <v>0</v>
      </c>
      <c r="K16" s="209">
        <f>'EstExp 12-20'!L443</f>
        <v>0</v>
      </c>
    </row>
    <row r="17" spans="1:11" ht="12.75" customHeight="1" x14ac:dyDescent="0.2">
      <c r="A17" s="731" t="s">
        <v>141</v>
      </c>
      <c r="B17" s="741">
        <v>5000</v>
      </c>
      <c r="C17" s="218">
        <f>'EstExp 12-20'!L114</f>
        <v>0</v>
      </c>
      <c r="D17" s="209">
        <f>'EstExp 12-20'!L153</f>
        <v>0</v>
      </c>
      <c r="E17" s="218">
        <f>'EstExp 12-20'!L176</f>
        <v>3619000</v>
      </c>
      <c r="F17" s="209">
        <f>'EstExp 12-20'!L212</f>
        <v>0</v>
      </c>
      <c r="G17" s="209">
        <f>'EstExp 12-20'!L290</f>
        <v>0</v>
      </c>
      <c r="H17" s="220"/>
      <c r="I17" s="219"/>
      <c r="J17" s="221">
        <f>'EstExp 12-20'!L426</f>
        <v>0</v>
      </c>
      <c r="K17" s="209">
        <f>'EstExp 12-20'!L451</f>
        <v>0</v>
      </c>
    </row>
    <row r="18" spans="1:11" ht="12.75" customHeight="1" x14ac:dyDescent="0.2">
      <c r="A18" s="731" t="s">
        <v>397</v>
      </c>
      <c r="B18" s="742">
        <v>6000</v>
      </c>
      <c r="C18" s="218">
        <f>'EstExp 12-20'!L115</f>
        <v>0</v>
      </c>
      <c r="D18" s="209">
        <f>'EstExp 12-20'!L154</f>
        <v>0</v>
      </c>
      <c r="E18" s="218">
        <f>'EstExp 12-20'!L177</f>
        <v>0</v>
      </c>
      <c r="F18" s="209">
        <f>'EstExp 12-20'!L213</f>
        <v>0</v>
      </c>
      <c r="G18" s="209">
        <f>'EstExp 12-20'!L291</f>
        <v>0</v>
      </c>
      <c r="H18" s="209">
        <f>'EstExp 12-20'!L308</f>
        <v>0</v>
      </c>
      <c r="I18" s="219"/>
      <c r="J18" s="221">
        <f>'EstExp 12-20'!L427</f>
        <v>0</v>
      </c>
      <c r="K18" s="209">
        <f>'EstExp 12-20'!L452</f>
        <v>0</v>
      </c>
    </row>
    <row r="19" spans="1:11" ht="15" customHeight="1" thickBot="1" x14ac:dyDescent="0.25">
      <c r="A19" s="733" t="s">
        <v>677</v>
      </c>
      <c r="B19" s="743"/>
      <c r="C19" s="222">
        <f t="shared" ref="C19:F19" si="2">SUM(C13:C18)</f>
        <v>79244000</v>
      </c>
      <c r="D19" s="222">
        <f t="shared" si="2"/>
        <v>8220000</v>
      </c>
      <c r="E19" s="222">
        <f t="shared" si="2"/>
        <v>3619000</v>
      </c>
      <c r="F19" s="222">
        <f t="shared" si="2"/>
        <v>1250000</v>
      </c>
      <c r="G19" s="222">
        <f>SUM(G13:G18)</f>
        <v>3400000</v>
      </c>
      <c r="H19" s="222">
        <f>SUM(H13:H18)</f>
        <v>3880000</v>
      </c>
      <c r="I19" s="219"/>
      <c r="J19" s="210">
        <f>SUM(J13:J18)</f>
        <v>360000</v>
      </c>
      <c r="K19" s="222">
        <f>SUM(K13:K18)</f>
        <v>0</v>
      </c>
    </row>
    <row r="20" spans="1:11" ht="16.5" thickTop="1" thickBot="1" x14ac:dyDescent="0.25">
      <c r="A20" s="744" t="s">
        <v>678</v>
      </c>
      <c r="B20" s="745">
        <v>4180</v>
      </c>
      <c r="C20" s="223">
        <f t="shared" ref="C20:H20" si="3">C10</f>
        <v>0</v>
      </c>
      <c r="D20" s="223">
        <f t="shared" si="3"/>
        <v>0</v>
      </c>
      <c r="E20" s="223">
        <f t="shared" si="3"/>
        <v>0</v>
      </c>
      <c r="F20" s="223">
        <f t="shared" si="3"/>
        <v>0</v>
      </c>
      <c r="G20" s="223">
        <f t="shared" si="3"/>
        <v>0</v>
      </c>
      <c r="H20" s="223">
        <f t="shared" si="3"/>
        <v>0</v>
      </c>
      <c r="I20" s="219"/>
      <c r="J20" s="223">
        <f>J10</f>
        <v>0</v>
      </c>
      <c r="K20" s="223">
        <f>K10</f>
        <v>0</v>
      </c>
    </row>
    <row r="21" spans="1:11" ht="12.75" customHeight="1" thickTop="1" thickBot="1" x14ac:dyDescent="0.25">
      <c r="A21" s="733" t="s">
        <v>357</v>
      </c>
      <c r="B21" s="746"/>
      <c r="C21" s="223">
        <f t="shared" ref="C21:H21" si="4">SUM(C19:C20)</f>
        <v>79244000</v>
      </c>
      <c r="D21" s="223">
        <f t="shared" si="4"/>
        <v>8220000</v>
      </c>
      <c r="E21" s="223">
        <f t="shared" si="4"/>
        <v>3619000</v>
      </c>
      <c r="F21" s="223">
        <f t="shared" si="4"/>
        <v>1250000</v>
      </c>
      <c r="G21" s="223">
        <f t="shared" si="4"/>
        <v>3400000</v>
      </c>
      <c r="H21" s="223">
        <f t="shared" si="4"/>
        <v>3880000</v>
      </c>
      <c r="I21" s="219"/>
      <c r="J21" s="223">
        <f>SUM(J19:J20)</f>
        <v>360000</v>
      </c>
      <c r="K21" s="223">
        <f>SUM(K19:K20)</f>
        <v>0</v>
      </c>
    </row>
    <row r="22" spans="1:11" ht="21.75" customHeight="1" thickTop="1" x14ac:dyDescent="0.2">
      <c r="A22" s="716" t="s">
        <v>449</v>
      </c>
      <c r="B22" s="717"/>
      <c r="C22" s="224">
        <f>C9-C19</f>
        <v>0</v>
      </c>
      <c r="D22" s="224">
        <f t="shared" ref="D22:K22" si="5">D9-D19</f>
        <v>0</v>
      </c>
      <c r="E22" s="224">
        <f t="shared" si="5"/>
        <v>0</v>
      </c>
      <c r="F22" s="224">
        <f t="shared" si="5"/>
        <v>0</v>
      </c>
      <c r="G22" s="224">
        <f t="shared" si="5"/>
        <v>0</v>
      </c>
      <c r="H22" s="224">
        <f t="shared" si="5"/>
        <v>-1100000</v>
      </c>
      <c r="I22" s="224">
        <f t="shared" si="5"/>
        <v>0</v>
      </c>
      <c r="J22" s="224">
        <f t="shared" si="5"/>
        <v>0</v>
      </c>
      <c r="K22" s="224">
        <f t="shared" si="5"/>
        <v>0</v>
      </c>
    </row>
    <row r="23" spans="1:11" s="749" customFormat="1" ht="18" customHeight="1" x14ac:dyDescent="0.2">
      <c r="A23" s="747" t="s">
        <v>333</v>
      </c>
      <c r="B23" s="748"/>
      <c r="C23" s="225"/>
      <c r="D23" s="225"/>
      <c r="E23" s="225"/>
      <c r="F23" s="225"/>
      <c r="G23" s="225"/>
      <c r="H23" s="225"/>
      <c r="I23" s="225"/>
      <c r="J23" s="225"/>
      <c r="K23" s="226"/>
    </row>
    <row r="24" spans="1:11" ht="12.75" customHeight="1" x14ac:dyDescent="0.2">
      <c r="A24" s="750" t="s">
        <v>334</v>
      </c>
      <c r="B24" s="751"/>
      <c r="C24" s="227"/>
      <c r="D24" s="227"/>
      <c r="E24" s="227"/>
      <c r="F24" s="227"/>
      <c r="G24" s="227"/>
      <c r="H24" s="227"/>
      <c r="I24" s="227"/>
      <c r="J24" s="227"/>
      <c r="K24" s="227"/>
    </row>
    <row r="25" spans="1:11" ht="12.75" customHeight="1" x14ac:dyDescent="0.2">
      <c r="A25" s="813" t="s">
        <v>317</v>
      </c>
      <c r="B25" s="814"/>
      <c r="C25" s="227"/>
      <c r="D25" s="227"/>
      <c r="E25" s="227"/>
      <c r="F25" s="227"/>
      <c r="G25" s="227"/>
      <c r="H25" s="227"/>
      <c r="I25" s="227"/>
      <c r="J25" s="227"/>
      <c r="K25" s="227"/>
    </row>
    <row r="26" spans="1:11" ht="15" x14ac:dyDescent="0.2">
      <c r="A26" s="807" t="s">
        <v>679</v>
      </c>
      <c r="B26" s="808">
        <v>7110</v>
      </c>
      <c r="C26" s="228"/>
      <c r="D26" s="229"/>
      <c r="E26" s="229"/>
      <c r="F26" s="229"/>
      <c r="G26" s="229"/>
      <c r="H26" s="229"/>
      <c r="I26" s="229"/>
      <c r="J26" s="229"/>
      <c r="K26" s="229"/>
    </row>
    <row r="27" spans="1:11" ht="15" x14ac:dyDescent="0.2">
      <c r="A27" s="807" t="s">
        <v>680</v>
      </c>
      <c r="B27" s="808" t="s">
        <v>578</v>
      </c>
      <c r="C27" s="228"/>
      <c r="D27" s="228"/>
      <c r="E27" s="228"/>
      <c r="F27" s="228"/>
      <c r="G27" s="228"/>
      <c r="H27" s="228"/>
      <c r="I27" s="229"/>
      <c r="J27" s="228"/>
      <c r="K27" s="228"/>
    </row>
    <row r="28" spans="1:11" ht="12" x14ac:dyDescent="0.2">
      <c r="A28" s="807" t="s">
        <v>316</v>
      </c>
      <c r="B28" s="808">
        <v>7120</v>
      </c>
      <c r="C28" s="228"/>
      <c r="D28" s="228"/>
      <c r="E28" s="228"/>
      <c r="F28" s="228"/>
      <c r="G28" s="228"/>
      <c r="H28" s="228"/>
      <c r="I28" s="227"/>
      <c r="J28" s="228"/>
      <c r="K28" s="228"/>
    </row>
    <row r="29" spans="1:11" ht="12" x14ac:dyDescent="0.2">
      <c r="A29" s="807" t="s">
        <v>78</v>
      </c>
      <c r="B29" s="812">
        <v>7130</v>
      </c>
      <c r="C29" s="228"/>
      <c r="D29" s="228"/>
      <c r="E29" s="232"/>
      <c r="F29" s="231"/>
      <c r="G29" s="227"/>
      <c r="H29" s="227"/>
      <c r="I29" s="227"/>
      <c r="J29" s="227"/>
      <c r="K29" s="227"/>
    </row>
    <row r="30" spans="1:11" ht="12" x14ac:dyDescent="0.2">
      <c r="A30" s="807" t="s">
        <v>319</v>
      </c>
      <c r="B30" s="812">
        <v>7140</v>
      </c>
      <c r="C30" s="228">
        <v>-1500000</v>
      </c>
      <c r="D30" s="228"/>
      <c r="E30" s="231">
        <v>600000</v>
      </c>
      <c r="F30" s="231"/>
      <c r="G30" s="231"/>
      <c r="H30" s="231">
        <v>900000</v>
      </c>
      <c r="I30" s="231"/>
      <c r="J30" s="231"/>
      <c r="K30" s="231"/>
    </row>
    <row r="31" spans="1:11" ht="12" x14ac:dyDescent="0.2">
      <c r="A31" s="807" t="s">
        <v>321</v>
      </c>
      <c r="B31" s="808">
        <v>7150</v>
      </c>
      <c r="C31" s="227"/>
      <c r="D31" s="233">
        <f>H54</f>
        <v>0</v>
      </c>
      <c r="E31" s="234"/>
      <c r="F31" s="235"/>
      <c r="G31" s="227"/>
      <c r="H31" s="227"/>
      <c r="I31" s="227"/>
      <c r="J31" s="227"/>
      <c r="K31" s="227"/>
    </row>
    <row r="32" spans="1:11" ht="26.25" x14ac:dyDescent="0.2">
      <c r="A32" s="236" t="s">
        <v>728</v>
      </c>
      <c r="B32" s="809">
        <v>7160</v>
      </c>
      <c r="C32" s="227"/>
      <c r="D32" s="237">
        <f>K55</f>
        <v>0</v>
      </c>
      <c r="E32" s="238"/>
      <c r="F32" s="227"/>
      <c r="G32" s="227"/>
      <c r="H32" s="227"/>
      <c r="I32" s="227"/>
      <c r="J32" s="227"/>
      <c r="K32" s="227"/>
    </row>
    <row r="33" spans="1:11" ht="26.25" x14ac:dyDescent="0.2">
      <c r="A33" s="239" t="s">
        <v>681</v>
      </c>
      <c r="B33" s="809">
        <v>7170</v>
      </c>
      <c r="C33" s="227"/>
      <c r="D33" s="234"/>
      <c r="E33" s="237">
        <f>K56</f>
        <v>0</v>
      </c>
      <c r="F33" s="227"/>
      <c r="G33" s="227"/>
      <c r="H33" s="227"/>
      <c r="I33" s="227"/>
      <c r="J33" s="227"/>
      <c r="K33" s="227"/>
    </row>
    <row r="34" spans="1:11" ht="12.75" customHeight="1" x14ac:dyDescent="0.2">
      <c r="A34" s="810" t="s">
        <v>241</v>
      </c>
      <c r="B34" s="811"/>
      <c r="C34" s="229"/>
      <c r="D34" s="240"/>
      <c r="E34" s="241"/>
      <c r="F34" s="229"/>
      <c r="G34" s="229"/>
      <c r="H34" s="229"/>
      <c r="I34" s="229"/>
      <c r="J34" s="229"/>
      <c r="K34" s="229"/>
    </row>
    <row r="35" spans="1:11" ht="15" x14ac:dyDescent="0.2">
      <c r="A35" s="804" t="s">
        <v>682</v>
      </c>
      <c r="B35" s="806">
        <v>7210</v>
      </c>
      <c r="C35" s="228"/>
      <c r="D35" s="228"/>
      <c r="E35" s="228"/>
      <c r="F35" s="228"/>
      <c r="G35" s="229"/>
      <c r="H35" s="230"/>
      <c r="I35" s="230"/>
      <c r="J35" s="230"/>
      <c r="K35" s="230"/>
    </row>
    <row r="36" spans="1:11" ht="12" customHeight="1" x14ac:dyDescent="0.2">
      <c r="A36" s="804" t="s">
        <v>419</v>
      </c>
      <c r="B36" s="806">
        <v>7220</v>
      </c>
      <c r="C36" s="228"/>
      <c r="D36" s="228"/>
      <c r="E36" s="228"/>
      <c r="F36" s="228"/>
      <c r="G36" s="229"/>
      <c r="H36" s="230"/>
      <c r="I36" s="230"/>
      <c r="J36" s="230"/>
      <c r="K36" s="230"/>
    </row>
    <row r="37" spans="1:11" ht="12" customHeight="1" x14ac:dyDescent="0.2">
      <c r="A37" s="804" t="s">
        <v>415</v>
      </c>
      <c r="B37" s="806">
        <v>7230</v>
      </c>
      <c r="C37" s="228"/>
      <c r="D37" s="228"/>
      <c r="E37" s="228"/>
      <c r="F37" s="228"/>
      <c r="G37" s="229"/>
      <c r="H37" s="230"/>
      <c r="I37" s="230"/>
      <c r="J37" s="230"/>
      <c r="K37" s="230"/>
    </row>
    <row r="38" spans="1:11" ht="15" x14ac:dyDescent="0.2">
      <c r="A38" s="804" t="s">
        <v>683</v>
      </c>
      <c r="B38" s="805">
        <v>7300</v>
      </c>
      <c r="C38" s="228"/>
      <c r="D38" s="228"/>
      <c r="E38" s="228"/>
      <c r="F38" s="228"/>
      <c r="G38" s="230"/>
      <c r="H38" s="230"/>
      <c r="I38" s="229"/>
      <c r="J38" s="230"/>
      <c r="K38" s="230"/>
    </row>
    <row r="39" spans="1:11" ht="12" customHeight="1" x14ac:dyDescent="0.2">
      <c r="A39" s="804" t="s">
        <v>3083</v>
      </c>
      <c r="B39" s="805">
        <v>7400</v>
      </c>
      <c r="C39" s="243"/>
      <c r="D39" s="243"/>
      <c r="E39" s="244">
        <f>SUM(C57:H60)</f>
        <v>0</v>
      </c>
      <c r="F39" s="245"/>
      <c r="G39" s="245"/>
      <c r="H39" s="245"/>
      <c r="I39" s="246"/>
      <c r="J39" s="229"/>
      <c r="K39" s="229"/>
    </row>
    <row r="40" spans="1:11" ht="12" customHeight="1" x14ac:dyDescent="0.2">
      <c r="A40" s="804" t="s">
        <v>3084</v>
      </c>
      <c r="B40" s="803">
        <v>7500</v>
      </c>
      <c r="C40" s="247"/>
      <c r="D40" s="247"/>
      <c r="E40" s="244">
        <f>SUM(C61:H64)</f>
        <v>0</v>
      </c>
      <c r="F40" s="229"/>
      <c r="G40" s="229"/>
      <c r="H40" s="229"/>
      <c r="I40" s="229"/>
      <c r="J40" s="229"/>
      <c r="K40" s="229"/>
    </row>
    <row r="41" spans="1:11" ht="12" customHeight="1" x14ac:dyDescent="0.2">
      <c r="A41" s="804" t="s">
        <v>214</v>
      </c>
      <c r="B41" s="803">
        <v>7600</v>
      </c>
      <c r="C41" s="229"/>
      <c r="D41" s="229"/>
      <c r="E41" s="244">
        <f>SUM(C65:D68)</f>
        <v>0</v>
      </c>
      <c r="F41" s="229"/>
      <c r="G41" s="229"/>
      <c r="H41" s="229"/>
      <c r="I41" s="229"/>
      <c r="J41" s="229"/>
      <c r="K41" s="229"/>
    </row>
    <row r="42" spans="1:11" ht="12" customHeight="1" x14ac:dyDescent="0.2">
      <c r="A42" s="804" t="s">
        <v>417</v>
      </c>
      <c r="B42" s="803">
        <v>7700</v>
      </c>
      <c r="C42" s="229"/>
      <c r="D42" s="229"/>
      <c r="E42" s="244">
        <f>SUM(C69:D72)</f>
        <v>0</v>
      </c>
      <c r="F42" s="229"/>
      <c r="G42" s="229"/>
      <c r="H42" s="229"/>
      <c r="I42" s="229"/>
      <c r="J42" s="229"/>
      <c r="K42" s="229"/>
    </row>
    <row r="43" spans="1:11" ht="12" customHeight="1" x14ac:dyDescent="0.2">
      <c r="A43" s="804" t="s">
        <v>320</v>
      </c>
      <c r="B43" s="803">
        <v>7800</v>
      </c>
      <c r="C43" s="229"/>
      <c r="D43" s="229"/>
      <c r="E43" s="229"/>
      <c r="F43" s="229"/>
      <c r="G43" s="229"/>
      <c r="H43" s="244">
        <f>SUM(C73:D76)</f>
        <v>0</v>
      </c>
      <c r="I43" s="229"/>
      <c r="J43" s="229"/>
      <c r="K43" s="229"/>
    </row>
    <row r="44" spans="1:11" ht="12" customHeight="1" x14ac:dyDescent="0.2">
      <c r="A44" s="793" t="s">
        <v>416</v>
      </c>
      <c r="B44" s="803">
        <v>7900</v>
      </c>
      <c r="C44" s="228"/>
      <c r="D44" s="228"/>
      <c r="E44" s="228"/>
      <c r="F44" s="228"/>
      <c r="G44" s="228"/>
      <c r="H44" s="228"/>
      <c r="I44" s="229"/>
      <c r="J44" s="229"/>
      <c r="K44" s="242"/>
    </row>
    <row r="45" spans="1:11" ht="12" customHeight="1" x14ac:dyDescent="0.2">
      <c r="A45" s="804" t="s">
        <v>375</v>
      </c>
      <c r="B45" s="803">
        <v>7990</v>
      </c>
      <c r="C45" s="228"/>
      <c r="D45" s="228"/>
      <c r="E45" s="228"/>
      <c r="F45" s="228"/>
      <c r="G45" s="228"/>
      <c r="H45" s="228"/>
      <c r="I45" s="230"/>
      <c r="J45" s="230"/>
      <c r="K45" s="230"/>
    </row>
    <row r="46" spans="1:11" ht="14.25" customHeight="1" thickBot="1" x14ac:dyDescent="0.25">
      <c r="A46" s="752" t="s">
        <v>684</v>
      </c>
      <c r="B46" s="753"/>
      <c r="C46" s="248">
        <f>SUM(C26:C45)</f>
        <v>-1500000</v>
      </c>
      <c r="D46" s="248">
        <f t="shared" ref="D46:K46" si="6">SUM(D26:D45)</f>
        <v>0</v>
      </c>
      <c r="E46" s="248">
        <f t="shared" si="6"/>
        <v>600000</v>
      </c>
      <c r="F46" s="248">
        <f t="shared" si="6"/>
        <v>0</v>
      </c>
      <c r="G46" s="248">
        <f t="shared" si="6"/>
        <v>0</v>
      </c>
      <c r="H46" s="248">
        <f t="shared" si="6"/>
        <v>900000</v>
      </c>
      <c r="I46" s="248">
        <f t="shared" si="6"/>
        <v>0</v>
      </c>
      <c r="J46" s="248">
        <f t="shared" si="6"/>
        <v>0</v>
      </c>
      <c r="K46" s="248">
        <f t="shared" si="6"/>
        <v>0</v>
      </c>
    </row>
    <row r="47" spans="1:11" ht="12.75" customHeight="1" thickTop="1" x14ac:dyDescent="0.2">
      <c r="A47" s="750" t="s">
        <v>335</v>
      </c>
      <c r="B47" s="751"/>
      <c r="C47" s="249"/>
      <c r="D47" s="249"/>
      <c r="E47" s="249"/>
      <c r="F47" s="249"/>
      <c r="G47" s="249"/>
      <c r="H47" s="250"/>
      <c r="I47" s="249"/>
      <c r="J47" s="250"/>
      <c r="K47" s="249"/>
    </row>
    <row r="48" spans="1:11" ht="0.75" customHeight="1" x14ac:dyDescent="0.2">
      <c r="A48" s="756"/>
      <c r="B48" s="757"/>
      <c r="C48" s="251"/>
      <c r="D48" s="251"/>
      <c r="E48" s="251"/>
      <c r="F48" s="251"/>
      <c r="G48" s="251"/>
      <c r="H48" s="250"/>
      <c r="I48" s="251"/>
      <c r="J48" s="250"/>
      <c r="K48" s="251"/>
    </row>
    <row r="49" spans="1:11" ht="12.75" customHeight="1" x14ac:dyDescent="0.2">
      <c r="A49" s="797" t="s">
        <v>318</v>
      </c>
      <c r="B49" s="798"/>
      <c r="C49" s="251"/>
      <c r="D49" s="252"/>
      <c r="E49" s="251"/>
      <c r="F49" s="251"/>
      <c r="G49" s="251"/>
      <c r="H49" s="250"/>
      <c r="I49" s="251"/>
      <c r="J49" s="250"/>
      <c r="K49" s="251"/>
    </row>
    <row r="50" spans="1:11" ht="15" x14ac:dyDescent="0.2">
      <c r="A50" s="799" t="s">
        <v>685</v>
      </c>
      <c r="B50" s="800" t="s">
        <v>109</v>
      </c>
      <c r="C50" s="251"/>
      <c r="D50" s="251"/>
      <c r="E50" s="251"/>
      <c r="F50" s="251"/>
      <c r="G50" s="251"/>
      <c r="H50" s="250"/>
      <c r="I50" s="244">
        <f>SUM(C26,C27,D27,E27,F27,G27,H27,J27,K27)</f>
        <v>0</v>
      </c>
      <c r="J50" s="250"/>
      <c r="K50" s="251"/>
    </row>
    <row r="51" spans="1:11" ht="12" x14ac:dyDescent="0.2">
      <c r="A51" s="801" t="s">
        <v>316</v>
      </c>
      <c r="B51" s="802" t="s">
        <v>110</v>
      </c>
      <c r="C51" s="251"/>
      <c r="D51" s="251"/>
      <c r="E51" s="251"/>
      <c r="F51" s="251"/>
      <c r="G51" s="251"/>
      <c r="H51" s="250"/>
      <c r="I51" s="253">
        <f>SUM(C28:K28)</f>
        <v>0</v>
      </c>
      <c r="J51" s="250"/>
      <c r="K51" s="251"/>
    </row>
    <row r="52" spans="1:11" ht="12" x14ac:dyDescent="0.2">
      <c r="A52" s="794" t="s">
        <v>78</v>
      </c>
      <c r="B52" s="795" t="s">
        <v>264</v>
      </c>
      <c r="C52" s="228"/>
      <c r="D52" s="228"/>
      <c r="E52" s="251"/>
      <c r="F52" s="254"/>
      <c r="G52" s="251"/>
      <c r="H52" s="250"/>
      <c r="I52" s="255"/>
      <c r="J52" s="250"/>
      <c r="K52" s="251"/>
    </row>
    <row r="53" spans="1:11" ht="15" x14ac:dyDescent="0.2">
      <c r="A53" s="794" t="s">
        <v>686</v>
      </c>
      <c r="B53" s="796" t="s">
        <v>265</v>
      </c>
      <c r="C53" s="228"/>
      <c r="D53" s="228"/>
      <c r="E53" s="256"/>
      <c r="F53" s="256"/>
      <c r="G53" s="256"/>
      <c r="H53" s="256"/>
      <c r="I53" s="251"/>
      <c r="J53" s="256"/>
      <c r="K53" s="251"/>
    </row>
    <row r="54" spans="1:11" ht="12" x14ac:dyDescent="0.2">
      <c r="A54" s="793" t="s">
        <v>321</v>
      </c>
      <c r="B54" s="792" t="s">
        <v>57</v>
      </c>
      <c r="C54" s="251"/>
      <c r="D54" s="251"/>
      <c r="E54" s="251"/>
      <c r="F54" s="251"/>
      <c r="G54" s="251"/>
      <c r="H54" s="256"/>
      <c r="I54" s="251"/>
      <c r="J54" s="250"/>
      <c r="K54" s="257"/>
    </row>
    <row r="55" spans="1:11" ht="26.25" x14ac:dyDescent="0.2">
      <c r="A55" s="236" t="s">
        <v>727</v>
      </c>
      <c r="B55" s="792" t="s">
        <v>58</v>
      </c>
      <c r="C55" s="251"/>
      <c r="D55" s="251"/>
      <c r="E55" s="251"/>
      <c r="F55" s="251"/>
      <c r="G55" s="251"/>
      <c r="H55" s="250"/>
      <c r="I55" s="251"/>
      <c r="J55" s="250"/>
      <c r="K55" s="258"/>
    </row>
    <row r="56" spans="1:11" ht="26.25" x14ac:dyDescent="0.2">
      <c r="A56" s="239" t="s">
        <v>729</v>
      </c>
      <c r="B56" s="792" t="s">
        <v>59</v>
      </c>
      <c r="C56" s="251"/>
      <c r="D56" s="251"/>
      <c r="E56" s="251"/>
      <c r="F56" s="251"/>
      <c r="G56" s="251"/>
      <c r="H56" s="250"/>
      <c r="I56" s="251"/>
      <c r="J56" s="250"/>
      <c r="K56" s="258"/>
    </row>
    <row r="57" spans="1:11" ht="12" x14ac:dyDescent="0.2">
      <c r="A57" s="259" t="s">
        <v>3085</v>
      </c>
      <c r="B57" s="792" t="s">
        <v>542</v>
      </c>
      <c r="C57" s="228"/>
      <c r="D57" s="228"/>
      <c r="E57" s="251"/>
      <c r="F57" s="251"/>
      <c r="G57" s="251"/>
      <c r="H57" s="228"/>
      <c r="I57" s="251"/>
      <c r="J57" s="250"/>
      <c r="K57" s="251"/>
    </row>
    <row r="58" spans="1:11" ht="12" x14ac:dyDescent="0.2">
      <c r="A58" s="260" t="s">
        <v>3086</v>
      </c>
      <c r="B58" s="792" t="s">
        <v>543</v>
      </c>
      <c r="C58" s="228"/>
      <c r="D58" s="228"/>
      <c r="E58" s="251"/>
      <c r="F58" s="251"/>
      <c r="G58" s="251"/>
      <c r="H58" s="228"/>
      <c r="I58" s="251"/>
      <c r="J58" s="250"/>
      <c r="K58" s="251"/>
    </row>
    <row r="59" spans="1:11" ht="12" x14ac:dyDescent="0.2">
      <c r="A59" s="261" t="s">
        <v>3087</v>
      </c>
      <c r="B59" s="792" t="s">
        <v>544</v>
      </c>
      <c r="C59" s="228"/>
      <c r="D59" s="228"/>
      <c r="E59" s="251"/>
      <c r="F59" s="251"/>
      <c r="G59" s="251"/>
      <c r="H59" s="228"/>
      <c r="I59" s="251"/>
      <c r="J59" s="250"/>
      <c r="K59" s="251"/>
    </row>
    <row r="60" spans="1:11" ht="12" x14ac:dyDescent="0.2">
      <c r="A60" s="260" t="s">
        <v>3088</v>
      </c>
      <c r="B60" s="792" t="s">
        <v>545</v>
      </c>
      <c r="C60" s="228"/>
      <c r="D60" s="228"/>
      <c r="E60" s="251"/>
      <c r="F60" s="251"/>
      <c r="G60" s="251"/>
      <c r="H60" s="228"/>
      <c r="I60" s="251"/>
      <c r="J60" s="250"/>
      <c r="K60" s="251"/>
    </row>
    <row r="61" spans="1:11" ht="12" x14ac:dyDescent="0.2">
      <c r="A61" s="261" t="s">
        <v>3089</v>
      </c>
      <c r="B61" s="792" t="s">
        <v>546</v>
      </c>
      <c r="C61" s="228"/>
      <c r="D61" s="228"/>
      <c r="E61" s="251"/>
      <c r="F61" s="251"/>
      <c r="G61" s="251"/>
      <c r="H61" s="228"/>
      <c r="I61" s="251"/>
      <c r="J61" s="250"/>
      <c r="K61" s="251"/>
    </row>
    <row r="62" spans="1:11" ht="12" x14ac:dyDescent="0.2">
      <c r="A62" s="262" t="s">
        <v>3090</v>
      </c>
      <c r="B62" s="792" t="s">
        <v>547</v>
      </c>
      <c r="C62" s="228"/>
      <c r="D62" s="228"/>
      <c r="E62" s="251"/>
      <c r="F62" s="251"/>
      <c r="G62" s="251"/>
      <c r="H62" s="228"/>
      <c r="I62" s="251"/>
      <c r="J62" s="250"/>
      <c r="K62" s="251"/>
    </row>
    <row r="63" spans="1:11" ht="12" x14ac:dyDescent="0.2">
      <c r="A63" s="261" t="s">
        <v>3091</v>
      </c>
      <c r="B63" s="792" t="s">
        <v>548</v>
      </c>
      <c r="C63" s="228"/>
      <c r="D63" s="228"/>
      <c r="E63" s="251"/>
      <c r="F63" s="251"/>
      <c r="G63" s="251"/>
      <c r="H63" s="228"/>
      <c r="I63" s="251"/>
      <c r="J63" s="250"/>
      <c r="K63" s="251"/>
    </row>
    <row r="64" spans="1:11" ht="12" x14ac:dyDescent="0.2">
      <c r="A64" s="260" t="s">
        <v>3092</v>
      </c>
      <c r="B64" s="792" t="s">
        <v>549</v>
      </c>
      <c r="C64" s="228"/>
      <c r="D64" s="228"/>
      <c r="E64" s="251"/>
      <c r="F64" s="251"/>
      <c r="G64" s="251"/>
      <c r="H64" s="228"/>
      <c r="I64" s="251"/>
      <c r="J64" s="250"/>
      <c r="K64" s="251"/>
    </row>
    <row r="65" spans="1:11" ht="12" x14ac:dyDescent="0.2">
      <c r="A65" s="261" t="s">
        <v>541</v>
      </c>
      <c r="B65" s="792" t="s">
        <v>550</v>
      </c>
      <c r="C65" s="228"/>
      <c r="D65" s="228"/>
      <c r="E65" s="251"/>
      <c r="F65" s="251"/>
      <c r="G65" s="251"/>
      <c r="H65" s="250"/>
      <c r="I65" s="251"/>
      <c r="J65" s="250"/>
      <c r="K65" s="251"/>
    </row>
    <row r="66" spans="1:11" ht="12" x14ac:dyDescent="0.2">
      <c r="A66" s="260" t="s">
        <v>562</v>
      </c>
      <c r="B66" s="792" t="s">
        <v>551</v>
      </c>
      <c r="C66" s="228"/>
      <c r="D66" s="228"/>
      <c r="E66" s="251"/>
      <c r="F66" s="251"/>
      <c r="G66" s="251"/>
      <c r="H66" s="250"/>
      <c r="I66" s="251"/>
      <c r="J66" s="250"/>
      <c r="K66" s="251"/>
    </row>
    <row r="67" spans="1:11" ht="12" x14ac:dyDescent="0.2">
      <c r="A67" s="261" t="s">
        <v>563</v>
      </c>
      <c r="B67" s="792" t="s">
        <v>552</v>
      </c>
      <c r="C67" s="228"/>
      <c r="D67" s="228"/>
      <c r="E67" s="251"/>
      <c r="F67" s="251"/>
      <c r="G67" s="251"/>
      <c r="H67" s="250"/>
      <c r="I67" s="251"/>
      <c r="J67" s="250"/>
      <c r="K67" s="251"/>
    </row>
    <row r="68" spans="1:11" ht="12" x14ac:dyDescent="0.2">
      <c r="A68" s="260" t="s">
        <v>564</v>
      </c>
      <c r="B68" s="792" t="s">
        <v>553</v>
      </c>
      <c r="C68" s="228"/>
      <c r="D68" s="228"/>
      <c r="E68" s="251"/>
      <c r="F68" s="251"/>
      <c r="G68" s="251"/>
      <c r="H68" s="250"/>
      <c r="I68" s="251"/>
      <c r="J68" s="250"/>
      <c r="K68" s="251"/>
    </row>
    <row r="69" spans="1:11" ht="12" x14ac:dyDescent="0.2">
      <c r="A69" s="261" t="s">
        <v>565</v>
      </c>
      <c r="B69" s="792" t="s">
        <v>554</v>
      </c>
      <c r="C69" s="228"/>
      <c r="D69" s="228"/>
      <c r="E69" s="251"/>
      <c r="F69" s="251"/>
      <c r="G69" s="251"/>
      <c r="H69" s="250"/>
      <c r="I69" s="251"/>
      <c r="J69" s="250"/>
      <c r="K69" s="251"/>
    </row>
    <row r="70" spans="1:11" ht="12" x14ac:dyDescent="0.2">
      <c r="A70" s="260" t="s">
        <v>566</v>
      </c>
      <c r="B70" s="792" t="s">
        <v>555</v>
      </c>
      <c r="C70" s="228"/>
      <c r="D70" s="228"/>
      <c r="E70" s="251"/>
      <c r="F70" s="251"/>
      <c r="G70" s="251"/>
      <c r="H70" s="250"/>
      <c r="I70" s="251"/>
      <c r="J70" s="250"/>
      <c r="K70" s="251"/>
    </row>
    <row r="71" spans="1:11" ht="12" x14ac:dyDescent="0.2">
      <c r="A71" s="262" t="s">
        <v>567</v>
      </c>
      <c r="B71" s="792" t="s">
        <v>556</v>
      </c>
      <c r="C71" s="228"/>
      <c r="D71" s="228"/>
      <c r="E71" s="251"/>
      <c r="F71" s="251"/>
      <c r="G71" s="251"/>
      <c r="H71" s="250"/>
      <c r="I71" s="251"/>
      <c r="J71" s="250"/>
      <c r="K71" s="251"/>
    </row>
    <row r="72" spans="1:11" ht="12" x14ac:dyDescent="0.2">
      <c r="A72" s="260" t="s">
        <v>568</v>
      </c>
      <c r="B72" s="792" t="s">
        <v>557</v>
      </c>
      <c r="C72" s="228"/>
      <c r="D72" s="228"/>
      <c r="E72" s="251"/>
      <c r="F72" s="251"/>
      <c r="G72" s="251"/>
      <c r="H72" s="250"/>
      <c r="I72" s="251"/>
      <c r="J72" s="250"/>
      <c r="K72" s="251"/>
    </row>
    <row r="73" spans="1:11" ht="12" x14ac:dyDescent="0.2">
      <c r="A73" s="261" t="s">
        <v>569</v>
      </c>
      <c r="B73" s="792" t="s">
        <v>558</v>
      </c>
      <c r="C73" s="228"/>
      <c r="D73" s="228"/>
      <c r="E73" s="251"/>
      <c r="F73" s="251"/>
      <c r="G73" s="251"/>
      <c r="H73" s="250"/>
      <c r="I73" s="251"/>
      <c r="J73" s="250"/>
      <c r="K73" s="251"/>
    </row>
    <row r="74" spans="1:11" ht="12" x14ac:dyDescent="0.2">
      <c r="A74" s="261" t="s">
        <v>570</v>
      </c>
      <c r="B74" s="792" t="s">
        <v>559</v>
      </c>
      <c r="C74" s="228"/>
      <c r="D74" s="228"/>
      <c r="E74" s="251"/>
      <c r="F74" s="251"/>
      <c r="G74" s="251"/>
      <c r="H74" s="250"/>
      <c r="I74" s="251"/>
      <c r="J74" s="250"/>
      <c r="K74" s="251"/>
    </row>
    <row r="75" spans="1:11" ht="12" x14ac:dyDescent="0.2">
      <c r="A75" s="261" t="s">
        <v>571</v>
      </c>
      <c r="B75" s="792" t="s">
        <v>560</v>
      </c>
      <c r="C75" s="228"/>
      <c r="D75" s="228"/>
      <c r="E75" s="251"/>
      <c r="F75" s="251"/>
      <c r="G75" s="251"/>
      <c r="H75" s="250"/>
      <c r="I75" s="251"/>
      <c r="J75" s="250"/>
      <c r="K75" s="251"/>
    </row>
    <row r="76" spans="1:11" ht="12" x14ac:dyDescent="0.2">
      <c r="A76" s="261" t="s">
        <v>572</v>
      </c>
      <c r="B76" s="792" t="s">
        <v>561</v>
      </c>
      <c r="C76" s="228"/>
      <c r="D76" s="228"/>
      <c r="E76" s="251"/>
      <c r="F76" s="251"/>
      <c r="G76" s="251"/>
      <c r="H76" s="250"/>
      <c r="I76" s="251"/>
      <c r="J76" s="250"/>
      <c r="K76" s="251"/>
    </row>
    <row r="77" spans="1:11" ht="12" x14ac:dyDescent="0.2">
      <c r="A77" s="793" t="s">
        <v>36</v>
      </c>
      <c r="B77" s="792" t="s">
        <v>377</v>
      </c>
      <c r="C77" s="228"/>
      <c r="D77" s="228"/>
      <c r="E77" s="251"/>
      <c r="F77" s="228"/>
      <c r="G77" s="228"/>
      <c r="H77" s="228"/>
      <c r="I77" s="257"/>
      <c r="J77" s="250"/>
      <c r="K77" s="256"/>
    </row>
    <row r="78" spans="1:11" ht="12" x14ac:dyDescent="0.2">
      <c r="A78" s="794" t="s">
        <v>378</v>
      </c>
      <c r="B78" s="795" t="s">
        <v>376</v>
      </c>
      <c r="C78" s="228"/>
      <c r="D78" s="228"/>
      <c r="E78" s="228"/>
      <c r="F78" s="228"/>
      <c r="G78" s="228"/>
      <c r="H78" s="228"/>
      <c r="I78" s="228"/>
      <c r="J78" s="228"/>
      <c r="K78" s="228"/>
    </row>
    <row r="79" spans="1:11" ht="15.75" thickBot="1" x14ac:dyDescent="0.25">
      <c r="A79" s="758" t="s">
        <v>687</v>
      </c>
      <c r="B79" s="759"/>
      <c r="C79" s="263">
        <f>SUM(C50:C78)</f>
        <v>0</v>
      </c>
      <c r="D79" s="263">
        <f t="shared" ref="D79:K79" si="7">SUM(D50:D78)</f>
        <v>0</v>
      </c>
      <c r="E79" s="263">
        <f t="shared" si="7"/>
        <v>0</v>
      </c>
      <c r="F79" s="263">
        <f t="shared" si="7"/>
        <v>0</v>
      </c>
      <c r="G79" s="263">
        <f t="shared" si="7"/>
        <v>0</v>
      </c>
      <c r="H79" s="263">
        <f t="shared" si="7"/>
        <v>0</v>
      </c>
      <c r="I79" s="263">
        <f t="shared" si="7"/>
        <v>0</v>
      </c>
      <c r="J79" s="263">
        <f t="shared" si="7"/>
        <v>0</v>
      </c>
      <c r="K79" s="263">
        <f t="shared" si="7"/>
        <v>0</v>
      </c>
    </row>
    <row r="80" spans="1:11" ht="14.25" thickTop="1" thickBot="1" x14ac:dyDescent="0.25">
      <c r="A80" s="760" t="s">
        <v>336</v>
      </c>
      <c r="B80" s="761"/>
      <c r="C80" s="248">
        <f t="shared" ref="C80:K80" si="8">C46-C79</f>
        <v>-1500000</v>
      </c>
      <c r="D80" s="248">
        <f t="shared" si="8"/>
        <v>0</v>
      </c>
      <c r="E80" s="248">
        <f t="shared" si="8"/>
        <v>600000</v>
      </c>
      <c r="F80" s="248">
        <f t="shared" si="8"/>
        <v>0</v>
      </c>
      <c r="G80" s="248">
        <f t="shared" si="8"/>
        <v>0</v>
      </c>
      <c r="H80" s="248">
        <f t="shared" si="8"/>
        <v>900000</v>
      </c>
      <c r="I80" s="248">
        <f t="shared" si="8"/>
        <v>0</v>
      </c>
      <c r="J80" s="248">
        <f t="shared" si="8"/>
        <v>0</v>
      </c>
      <c r="K80" s="248">
        <f t="shared" si="8"/>
        <v>0</v>
      </c>
    </row>
    <row r="81" spans="1:11" ht="24" thickTop="1" thickBot="1" x14ac:dyDescent="0.25">
      <c r="A81" s="791" t="str">
        <f>"ESTIMATED ENDING FUND BALANCE (without Student Activity Funds) as of June 30, "&amp;'B23'!E2</f>
        <v>ESTIMATED ENDING FUND BALANCE (without Student Activity Funds) as of June 30, 2023</v>
      </c>
      <c r="B81" s="719"/>
      <c r="C81" s="248">
        <f t="shared" ref="C81:K81" si="9">C3+C22+C80</f>
        <v>21888590</v>
      </c>
      <c r="D81" s="248">
        <f t="shared" si="9"/>
        <v>2879273</v>
      </c>
      <c r="E81" s="248">
        <f>E3+E22+E80</f>
        <v>1375333</v>
      </c>
      <c r="F81" s="248">
        <f t="shared" si="9"/>
        <v>2579010</v>
      </c>
      <c r="G81" s="248">
        <f t="shared" si="9"/>
        <v>457822</v>
      </c>
      <c r="H81" s="248">
        <f t="shared" si="9"/>
        <v>2194667</v>
      </c>
      <c r="I81" s="248">
        <f t="shared" si="9"/>
        <v>4147137</v>
      </c>
      <c r="J81" s="248">
        <f t="shared" si="9"/>
        <v>840</v>
      </c>
      <c r="K81" s="248">
        <f t="shared" si="9"/>
        <v>0</v>
      </c>
    </row>
    <row r="82" spans="1:11" ht="12.75" thickTop="1" x14ac:dyDescent="0.2">
      <c r="A82" s="720"/>
      <c r="B82" s="721"/>
      <c r="C82" s="722"/>
      <c r="D82" s="722"/>
      <c r="E82" s="722"/>
      <c r="F82" s="722"/>
      <c r="G82" s="722"/>
      <c r="H82" s="722"/>
      <c r="I82" s="722"/>
      <c r="J82" s="722"/>
      <c r="K82" s="722"/>
    </row>
    <row r="83" spans="1:11" s="726" customFormat="1" ht="24" x14ac:dyDescent="0.2">
      <c r="A83" s="789" t="str">
        <f>"Student Activity (Fund 11) ESTIMATED BEGINNING FUND BALANCE as of July 1, "&amp;'B23'!E2-1</f>
        <v>Student Activity (Fund 11) ESTIMATED BEGINNING FUND BALANCE as of July 1, 2022</v>
      </c>
      <c r="B83" s="790"/>
      <c r="C83" s="205">
        <v>2986420</v>
      </c>
      <c r="D83" s="251"/>
      <c r="E83" s="251"/>
      <c r="F83" s="251"/>
      <c r="G83" s="251"/>
      <c r="H83" s="251"/>
      <c r="I83" s="251"/>
      <c r="J83" s="251"/>
      <c r="K83" s="251"/>
    </row>
    <row r="84" spans="1:11" s="708" customFormat="1" ht="18" customHeight="1" x14ac:dyDescent="0.2">
      <c r="A84" s="706" t="s">
        <v>768</v>
      </c>
      <c r="B84" s="707"/>
      <c r="C84" s="206"/>
      <c r="D84" s="206"/>
      <c r="E84" s="206"/>
      <c r="F84" s="206"/>
      <c r="G84" s="206"/>
      <c r="H84" s="206"/>
      <c r="I84" s="206"/>
      <c r="J84" s="206"/>
      <c r="K84" s="284"/>
    </row>
    <row r="85" spans="1:11" s="711" customFormat="1" ht="12.75" thickBot="1" x14ac:dyDescent="0.25">
      <c r="A85" s="709" t="s">
        <v>751</v>
      </c>
      <c r="B85" s="710">
        <v>1799</v>
      </c>
      <c r="C85" s="210">
        <f>'EstRev 6-11'!D82</f>
        <v>0</v>
      </c>
      <c r="D85" s="613"/>
      <c r="E85" s="613"/>
      <c r="F85" s="613"/>
      <c r="G85" s="613"/>
      <c r="H85" s="613"/>
      <c r="I85" s="613"/>
      <c r="J85" s="613"/>
      <c r="K85" s="613"/>
    </row>
    <row r="86" spans="1:11" ht="18" customHeight="1" thickTop="1" x14ac:dyDescent="0.2">
      <c r="A86" s="712" t="s">
        <v>769</v>
      </c>
      <c r="B86" s="713"/>
      <c r="C86" s="213"/>
      <c r="D86" s="213"/>
      <c r="E86" s="213"/>
      <c r="F86" s="213"/>
      <c r="G86" s="213"/>
      <c r="H86" s="213"/>
      <c r="I86" s="213"/>
      <c r="J86" s="213"/>
      <c r="K86" s="271"/>
    </row>
    <row r="87" spans="1:11" ht="15" customHeight="1" thickBot="1" x14ac:dyDescent="0.25">
      <c r="A87" s="709" t="s">
        <v>750</v>
      </c>
      <c r="B87" s="715">
        <v>1999</v>
      </c>
      <c r="C87" s="222">
        <f>'EstExp 12-20'!L33</f>
        <v>0</v>
      </c>
      <c r="D87" s="613"/>
      <c r="E87" s="613"/>
      <c r="F87" s="613"/>
      <c r="G87" s="613"/>
      <c r="H87" s="613"/>
      <c r="I87" s="613"/>
      <c r="J87" s="613"/>
      <c r="K87" s="613"/>
    </row>
    <row r="88" spans="1:11" ht="27.75" customHeight="1" thickTop="1" thickBot="1" x14ac:dyDescent="0.25">
      <c r="A88" s="716" t="s">
        <v>449</v>
      </c>
      <c r="B88" s="717"/>
      <c r="C88" s="627">
        <f>C85-C87</f>
        <v>0</v>
      </c>
      <c r="D88" s="626"/>
      <c r="E88" s="626"/>
      <c r="F88" s="626"/>
      <c r="G88" s="626"/>
      <c r="H88" s="626"/>
      <c r="I88" s="626"/>
      <c r="J88" s="626"/>
      <c r="K88" s="626"/>
    </row>
    <row r="89" spans="1:11" ht="21.95" customHeight="1" thickTop="1" thickBot="1" x14ac:dyDescent="0.25">
      <c r="A89" s="718" t="str">
        <f>"Student Activity ESTIMATED ENDING FUND BALANCE as of June 30, "&amp;'B23'!E2</f>
        <v>Student Activity ESTIMATED ENDING FUND BALANCE as of June 30, 2023</v>
      </c>
      <c r="B89" s="719"/>
      <c r="C89" s="248">
        <f>C83+C88</f>
        <v>2986420</v>
      </c>
      <c r="D89" s="625"/>
      <c r="E89" s="625"/>
      <c r="F89" s="625"/>
      <c r="G89" s="625"/>
      <c r="H89" s="625"/>
      <c r="I89" s="625"/>
      <c r="J89" s="625"/>
      <c r="K89" s="625"/>
    </row>
    <row r="90" spans="1:11" ht="12.75" thickTop="1" x14ac:dyDescent="0.2">
      <c r="A90" s="720"/>
      <c r="B90" s="721"/>
      <c r="C90" s="722"/>
      <c r="D90" s="615"/>
      <c r="E90" s="615"/>
      <c r="F90" s="615"/>
      <c r="G90" s="615"/>
      <c r="H90" s="615"/>
      <c r="I90" s="615"/>
      <c r="J90" s="615"/>
      <c r="K90" s="615"/>
    </row>
    <row r="91" spans="1:11" s="726" customFormat="1" ht="35.450000000000003" customHeight="1" x14ac:dyDescent="0.2">
      <c r="A91" s="723" t="str">
        <f>"Total ESTIMATED BEGINNING FUND BALANCE (All Sources Including Student Activity Funds) as of July 1, "&amp;'B23'!E2-1</f>
        <v>Total ESTIMATED BEGINNING FUND BALANCE (All Sources Including Student Activity Funds) as of July 1, 2022</v>
      </c>
      <c r="B91" s="724"/>
      <c r="C91" s="725">
        <f>C3+C83</f>
        <v>26375010</v>
      </c>
      <c r="D91" s="725">
        <f>D3</f>
        <v>2879273</v>
      </c>
      <c r="E91" s="725">
        <f t="shared" ref="E91:K91" si="10">E3</f>
        <v>775333</v>
      </c>
      <c r="F91" s="725">
        <f t="shared" si="10"/>
        <v>2579010</v>
      </c>
      <c r="G91" s="725">
        <f t="shared" si="10"/>
        <v>457822</v>
      </c>
      <c r="H91" s="725">
        <f t="shared" si="10"/>
        <v>2394667</v>
      </c>
      <c r="I91" s="725">
        <f t="shared" si="10"/>
        <v>4147137</v>
      </c>
      <c r="J91" s="725">
        <f t="shared" si="10"/>
        <v>840</v>
      </c>
      <c r="K91" s="725">
        <f t="shared" si="10"/>
        <v>0</v>
      </c>
    </row>
    <row r="92" spans="1:11" s="708" customFormat="1" ht="18" customHeight="1" x14ac:dyDescent="0.2">
      <c r="A92" s="706" t="s">
        <v>752</v>
      </c>
      <c r="B92" s="707"/>
      <c r="C92" s="206"/>
      <c r="D92" s="206"/>
      <c r="E92" s="206"/>
      <c r="F92" s="206"/>
      <c r="G92" s="206"/>
      <c r="H92" s="206"/>
      <c r="I92" s="206"/>
      <c r="J92" s="206"/>
      <c r="K92" s="284"/>
    </row>
    <row r="93" spans="1:11" s="726" customFormat="1" ht="12.75" customHeight="1" x14ac:dyDescent="0.2">
      <c r="A93" s="727" t="s">
        <v>303</v>
      </c>
      <c r="B93" s="728">
        <v>1000</v>
      </c>
      <c r="C93" s="207">
        <f>C5+C85</f>
        <v>71749500</v>
      </c>
      <c r="D93" s="207">
        <f>D5</f>
        <v>8220000</v>
      </c>
      <c r="E93" s="207">
        <f t="shared" ref="E93:K93" si="11">E5</f>
        <v>3619000</v>
      </c>
      <c r="F93" s="207">
        <f t="shared" si="11"/>
        <v>842000</v>
      </c>
      <c r="G93" s="207">
        <f t="shared" si="11"/>
        <v>3400000</v>
      </c>
      <c r="H93" s="207">
        <f t="shared" si="11"/>
        <v>1400000</v>
      </c>
      <c r="I93" s="207">
        <f t="shared" si="11"/>
        <v>0</v>
      </c>
      <c r="J93" s="207">
        <f t="shared" si="11"/>
        <v>360000</v>
      </c>
      <c r="K93" s="207">
        <f t="shared" si="11"/>
        <v>0</v>
      </c>
    </row>
    <row r="94" spans="1:11" s="726" customFormat="1" ht="24" x14ac:dyDescent="0.2">
      <c r="A94" s="729" t="s">
        <v>737</v>
      </c>
      <c r="B94" s="730">
        <v>2000</v>
      </c>
      <c r="C94" s="207">
        <f>C6</f>
        <v>0</v>
      </c>
      <c r="D94" s="207">
        <f>D6</f>
        <v>0</v>
      </c>
      <c r="E94" s="208"/>
      <c r="F94" s="207">
        <f>F6</f>
        <v>0</v>
      </c>
      <c r="G94" s="207">
        <f>G6</f>
        <v>0</v>
      </c>
      <c r="H94" s="208"/>
      <c r="I94" s="208"/>
      <c r="J94" s="208"/>
      <c r="K94" s="208"/>
    </row>
    <row r="95" spans="1:11" s="726" customFormat="1" ht="12.75" customHeight="1" x14ac:dyDescent="0.2">
      <c r="A95" s="731" t="s">
        <v>447</v>
      </c>
      <c r="B95" s="730">
        <v>3000</v>
      </c>
      <c r="C95" s="207">
        <f>C7</f>
        <v>3714500</v>
      </c>
      <c r="D95" s="207">
        <f t="shared" ref="D95:K95" si="12">D7</f>
        <v>0</v>
      </c>
      <c r="E95" s="207">
        <f t="shared" si="12"/>
        <v>0</v>
      </c>
      <c r="F95" s="207">
        <f t="shared" si="12"/>
        <v>408000</v>
      </c>
      <c r="G95" s="207">
        <f t="shared" si="12"/>
        <v>0</v>
      </c>
      <c r="H95" s="207">
        <f t="shared" si="12"/>
        <v>0</v>
      </c>
      <c r="I95" s="207">
        <f t="shared" si="12"/>
        <v>0</v>
      </c>
      <c r="J95" s="207">
        <f t="shared" si="12"/>
        <v>0</v>
      </c>
      <c r="K95" s="207">
        <f t="shared" si="12"/>
        <v>0</v>
      </c>
    </row>
    <row r="96" spans="1:11" s="711" customFormat="1" ht="12.75" customHeight="1" x14ac:dyDescent="0.2">
      <c r="A96" s="731" t="s">
        <v>448</v>
      </c>
      <c r="B96" s="732">
        <v>4000</v>
      </c>
      <c r="C96" s="209">
        <f>C8</f>
        <v>3780000</v>
      </c>
      <c r="D96" s="209">
        <f t="shared" ref="D96:K96" si="13">D8</f>
        <v>0</v>
      </c>
      <c r="E96" s="209">
        <f t="shared" si="13"/>
        <v>0</v>
      </c>
      <c r="F96" s="209">
        <f t="shared" si="13"/>
        <v>0</v>
      </c>
      <c r="G96" s="209">
        <f t="shared" si="13"/>
        <v>0</v>
      </c>
      <c r="H96" s="209">
        <f t="shared" si="13"/>
        <v>1380000</v>
      </c>
      <c r="I96" s="209">
        <f t="shared" si="13"/>
        <v>0</v>
      </c>
      <c r="J96" s="209">
        <f t="shared" si="13"/>
        <v>0</v>
      </c>
      <c r="K96" s="209">
        <f t="shared" si="13"/>
        <v>0</v>
      </c>
    </row>
    <row r="97" spans="1:11" s="711" customFormat="1" ht="13.5" thickBot="1" x14ac:dyDescent="0.25">
      <c r="A97" s="733" t="s">
        <v>675</v>
      </c>
      <c r="B97" s="734"/>
      <c r="C97" s="210">
        <f>SUM(C93:C96)</f>
        <v>79244000</v>
      </c>
      <c r="D97" s="628">
        <f t="shared" ref="D97:K97" si="14">SUM(D93:D96)</f>
        <v>8220000</v>
      </c>
      <c r="E97" s="210">
        <f t="shared" si="14"/>
        <v>3619000</v>
      </c>
      <c r="F97" s="210">
        <f t="shared" si="14"/>
        <v>1250000</v>
      </c>
      <c r="G97" s="210">
        <f t="shared" si="14"/>
        <v>3400000</v>
      </c>
      <c r="H97" s="210">
        <f t="shared" si="14"/>
        <v>2780000</v>
      </c>
      <c r="I97" s="210">
        <f t="shared" si="14"/>
        <v>0</v>
      </c>
      <c r="J97" s="210">
        <f t="shared" si="14"/>
        <v>360000</v>
      </c>
      <c r="K97" s="210">
        <f t="shared" si="14"/>
        <v>0</v>
      </c>
    </row>
    <row r="98" spans="1:11" s="711" customFormat="1" ht="16.5" thickTop="1" thickBot="1" x14ac:dyDescent="0.25">
      <c r="A98" s="735" t="s">
        <v>676</v>
      </c>
      <c r="B98" s="736">
        <v>3998</v>
      </c>
      <c r="C98" s="737">
        <f>C10</f>
        <v>0</v>
      </c>
      <c r="D98" s="737">
        <f t="shared" ref="D98:K98" si="15">D10</f>
        <v>0</v>
      </c>
      <c r="E98" s="737">
        <f t="shared" si="15"/>
        <v>0</v>
      </c>
      <c r="F98" s="737">
        <f t="shared" si="15"/>
        <v>0</v>
      </c>
      <c r="G98" s="737">
        <f t="shared" si="15"/>
        <v>0</v>
      </c>
      <c r="H98" s="737">
        <f t="shared" si="15"/>
        <v>0</v>
      </c>
      <c r="I98" s="211"/>
      <c r="J98" s="737">
        <f t="shared" si="15"/>
        <v>0</v>
      </c>
      <c r="K98" s="737">
        <f t="shared" si="15"/>
        <v>0</v>
      </c>
    </row>
    <row r="99" spans="1:11" s="711" customFormat="1" ht="12.75" customHeight="1" thickTop="1" thickBot="1" x14ac:dyDescent="0.25">
      <c r="A99" s="733" t="s">
        <v>446</v>
      </c>
      <c r="B99" s="738"/>
      <c r="C99" s="212">
        <f>SUM(C97:C98)</f>
        <v>79244000</v>
      </c>
      <c r="D99" s="212">
        <f t="shared" ref="D99:K99" si="16">SUM(D97:D98)</f>
        <v>8220000</v>
      </c>
      <c r="E99" s="212">
        <f t="shared" si="16"/>
        <v>3619000</v>
      </c>
      <c r="F99" s="212">
        <f t="shared" si="16"/>
        <v>1250000</v>
      </c>
      <c r="G99" s="212">
        <f t="shared" si="16"/>
        <v>3400000</v>
      </c>
      <c r="H99" s="212">
        <f t="shared" si="16"/>
        <v>2780000</v>
      </c>
      <c r="I99" s="212">
        <f t="shared" si="16"/>
        <v>0</v>
      </c>
      <c r="J99" s="212">
        <f t="shared" si="16"/>
        <v>360000</v>
      </c>
      <c r="K99" s="212">
        <f t="shared" si="16"/>
        <v>0</v>
      </c>
    </row>
    <row r="100" spans="1:11" ht="18" customHeight="1" thickTop="1" x14ac:dyDescent="0.2">
      <c r="A100" s="712" t="s">
        <v>770</v>
      </c>
      <c r="B100" s="713"/>
      <c r="C100" s="213"/>
      <c r="D100" s="213"/>
      <c r="E100" s="213"/>
      <c r="F100" s="213"/>
      <c r="G100" s="213"/>
      <c r="H100" s="213"/>
      <c r="I100" s="213"/>
      <c r="J100" s="213"/>
      <c r="K100" s="271"/>
    </row>
    <row r="101" spans="1:11" ht="12.75" customHeight="1" x14ac:dyDescent="0.2">
      <c r="A101" s="739" t="s">
        <v>249</v>
      </c>
      <c r="B101" s="740" t="s">
        <v>240</v>
      </c>
      <c r="C101" s="214">
        <f>C13+C87</f>
        <v>52205850</v>
      </c>
      <c r="D101" s="215"/>
      <c r="E101" s="215"/>
      <c r="F101" s="215"/>
      <c r="G101" s="216">
        <f t="shared" ref="G101:G106" si="17">G13</f>
        <v>3400000</v>
      </c>
      <c r="H101" s="217"/>
      <c r="I101" s="215"/>
      <c r="J101" s="216">
        <f>J13</f>
        <v>0</v>
      </c>
      <c r="K101" s="215"/>
    </row>
    <row r="102" spans="1:11" ht="12.75" customHeight="1" x14ac:dyDescent="0.2">
      <c r="A102" s="731" t="s">
        <v>129</v>
      </c>
      <c r="B102" s="741">
        <v>2000</v>
      </c>
      <c r="C102" s="218">
        <f t="shared" ref="C102:D106" si="18">C14</f>
        <v>25836150</v>
      </c>
      <c r="D102" s="218">
        <f t="shared" si="18"/>
        <v>8170500</v>
      </c>
      <c r="E102" s="215"/>
      <c r="F102" s="218">
        <f>F14</f>
        <v>1250000</v>
      </c>
      <c r="G102" s="218">
        <f t="shared" si="17"/>
        <v>0</v>
      </c>
      <c r="H102" s="218">
        <f>H14</f>
        <v>3880000</v>
      </c>
      <c r="I102" s="215"/>
      <c r="J102" s="218">
        <f>J14</f>
        <v>360000</v>
      </c>
      <c r="K102" s="207">
        <f>K14</f>
        <v>0</v>
      </c>
    </row>
    <row r="103" spans="1:11" ht="12.75" customHeight="1" x14ac:dyDescent="0.2">
      <c r="A103" s="731" t="s">
        <v>516</v>
      </c>
      <c r="B103" s="741">
        <v>3000</v>
      </c>
      <c r="C103" s="218">
        <f t="shared" si="18"/>
        <v>0</v>
      </c>
      <c r="D103" s="218">
        <f t="shared" si="18"/>
        <v>49500</v>
      </c>
      <c r="E103" s="215"/>
      <c r="F103" s="218">
        <f>F15</f>
        <v>0</v>
      </c>
      <c r="G103" s="218">
        <f t="shared" si="17"/>
        <v>0</v>
      </c>
      <c r="H103" s="220"/>
      <c r="I103" s="215"/>
      <c r="J103" s="218">
        <f t="shared" ref="J103" si="19">J15</f>
        <v>0</v>
      </c>
      <c r="K103" s="220"/>
    </row>
    <row r="104" spans="1:11" s="711" customFormat="1" ht="12.75" customHeight="1" x14ac:dyDescent="0.2">
      <c r="A104" s="731" t="s">
        <v>46</v>
      </c>
      <c r="B104" s="741">
        <v>4000</v>
      </c>
      <c r="C104" s="218">
        <f t="shared" si="18"/>
        <v>1202000</v>
      </c>
      <c r="D104" s="218">
        <f t="shared" si="18"/>
        <v>0</v>
      </c>
      <c r="E104" s="218">
        <f>E16</f>
        <v>0</v>
      </c>
      <c r="F104" s="218">
        <f>F16</f>
        <v>0</v>
      </c>
      <c r="G104" s="218">
        <f t="shared" si="17"/>
        <v>0</v>
      </c>
      <c r="H104" s="218">
        <f>H16</f>
        <v>0</v>
      </c>
      <c r="I104" s="215"/>
      <c r="J104" s="218">
        <f t="shared" ref="J104:K106" si="20">J16</f>
        <v>0</v>
      </c>
      <c r="K104" s="207">
        <f t="shared" si="20"/>
        <v>0</v>
      </c>
    </row>
    <row r="105" spans="1:11" ht="12.75" customHeight="1" x14ac:dyDescent="0.2">
      <c r="A105" s="731" t="s">
        <v>141</v>
      </c>
      <c r="B105" s="741">
        <v>5000</v>
      </c>
      <c r="C105" s="218">
        <f t="shared" si="18"/>
        <v>0</v>
      </c>
      <c r="D105" s="218">
        <f t="shared" si="18"/>
        <v>0</v>
      </c>
      <c r="E105" s="218">
        <f>E17</f>
        <v>3619000</v>
      </c>
      <c r="F105" s="218">
        <f>F17</f>
        <v>0</v>
      </c>
      <c r="G105" s="218">
        <f t="shared" si="17"/>
        <v>0</v>
      </c>
      <c r="H105" s="220"/>
      <c r="I105" s="215"/>
      <c r="J105" s="221">
        <f t="shared" si="20"/>
        <v>0</v>
      </c>
      <c r="K105" s="207">
        <f t="shared" si="20"/>
        <v>0</v>
      </c>
    </row>
    <row r="106" spans="1:11" ht="12.75" customHeight="1" x14ac:dyDescent="0.2">
      <c r="A106" s="731" t="s">
        <v>397</v>
      </c>
      <c r="B106" s="742">
        <v>6000</v>
      </c>
      <c r="C106" s="218">
        <f t="shared" si="18"/>
        <v>0</v>
      </c>
      <c r="D106" s="218">
        <f t="shared" si="18"/>
        <v>0</v>
      </c>
      <c r="E106" s="218">
        <f>E18</f>
        <v>0</v>
      </c>
      <c r="F106" s="218">
        <f>F18</f>
        <v>0</v>
      </c>
      <c r="G106" s="218">
        <f t="shared" si="17"/>
        <v>0</v>
      </c>
      <c r="H106" s="218">
        <f>H18</f>
        <v>0</v>
      </c>
      <c r="I106" s="215"/>
      <c r="J106" s="221">
        <f t="shared" si="20"/>
        <v>0</v>
      </c>
      <c r="K106" s="207">
        <f t="shared" si="20"/>
        <v>0</v>
      </c>
    </row>
    <row r="107" spans="1:11" ht="15" customHeight="1" thickBot="1" x14ac:dyDescent="0.25">
      <c r="A107" s="733" t="s">
        <v>677</v>
      </c>
      <c r="B107" s="743"/>
      <c r="C107" s="222">
        <f t="shared" ref="C107:H107" si="21">SUM(C101:C106)</f>
        <v>79244000</v>
      </c>
      <c r="D107" s="222">
        <f t="shared" si="21"/>
        <v>8220000</v>
      </c>
      <c r="E107" s="222">
        <f t="shared" si="21"/>
        <v>3619000</v>
      </c>
      <c r="F107" s="222">
        <f t="shared" si="21"/>
        <v>1250000</v>
      </c>
      <c r="G107" s="222">
        <f t="shared" si="21"/>
        <v>3400000</v>
      </c>
      <c r="H107" s="222">
        <f t="shared" si="21"/>
        <v>3880000</v>
      </c>
      <c r="I107" s="219"/>
      <c r="J107" s="210">
        <f>SUM(J101:J106)</f>
        <v>360000</v>
      </c>
      <c r="K107" s="222">
        <f>SUM(K101:K106)</f>
        <v>0</v>
      </c>
    </row>
    <row r="108" spans="1:11" ht="16.5" thickTop="1" thickBot="1" x14ac:dyDescent="0.25">
      <c r="A108" s="744" t="s">
        <v>678</v>
      </c>
      <c r="B108" s="745">
        <v>4180</v>
      </c>
      <c r="C108" s="223">
        <f t="shared" ref="C108:H108" si="22">C98</f>
        <v>0</v>
      </c>
      <c r="D108" s="223">
        <f t="shared" si="22"/>
        <v>0</v>
      </c>
      <c r="E108" s="223">
        <f t="shared" si="22"/>
        <v>0</v>
      </c>
      <c r="F108" s="223">
        <f t="shared" si="22"/>
        <v>0</v>
      </c>
      <c r="G108" s="223">
        <f t="shared" si="22"/>
        <v>0</v>
      </c>
      <c r="H108" s="223">
        <f t="shared" si="22"/>
        <v>0</v>
      </c>
      <c r="I108" s="219"/>
      <c r="J108" s="223">
        <f>J98</f>
        <v>0</v>
      </c>
      <c r="K108" s="223">
        <f>K98</f>
        <v>0</v>
      </c>
    </row>
    <row r="109" spans="1:11" ht="12.75" customHeight="1" thickTop="1" thickBot="1" x14ac:dyDescent="0.25">
      <c r="A109" s="733" t="s">
        <v>357</v>
      </c>
      <c r="B109" s="746"/>
      <c r="C109" s="223">
        <f t="shared" ref="C109:H109" si="23">SUM(C107:C108)</f>
        <v>79244000</v>
      </c>
      <c r="D109" s="223">
        <f t="shared" si="23"/>
        <v>8220000</v>
      </c>
      <c r="E109" s="223">
        <f t="shared" si="23"/>
        <v>3619000</v>
      </c>
      <c r="F109" s="223">
        <f t="shared" si="23"/>
        <v>1250000</v>
      </c>
      <c r="G109" s="223">
        <f t="shared" si="23"/>
        <v>3400000</v>
      </c>
      <c r="H109" s="223">
        <f t="shared" si="23"/>
        <v>3880000</v>
      </c>
      <c r="I109" s="219"/>
      <c r="J109" s="223">
        <f>SUM(J107:J108)</f>
        <v>360000</v>
      </c>
      <c r="K109" s="223">
        <f>SUM(K107:K108)</f>
        <v>0</v>
      </c>
    </row>
    <row r="110" spans="1:11" ht="21.75" customHeight="1" thickTop="1" x14ac:dyDescent="0.2">
      <c r="A110" s="716" t="s">
        <v>449</v>
      </c>
      <c r="B110" s="717"/>
      <c r="C110" s="224">
        <f>C97-C107</f>
        <v>0</v>
      </c>
      <c r="D110" s="224">
        <f t="shared" ref="D110:K110" si="24">D97-D107</f>
        <v>0</v>
      </c>
      <c r="E110" s="224">
        <f t="shared" si="24"/>
        <v>0</v>
      </c>
      <c r="F110" s="224">
        <f t="shared" si="24"/>
        <v>0</v>
      </c>
      <c r="G110" s="224">
        <f t="shared" si="24"/>
        <v>0</v>
      </c>
      <c r="H110" s="224">
        <f t="shared" si="24"/>
        <v>-1100000</v>
      </c>
      <c r="I110" s="224">
        <f t="shared" si="24"/>
        <v>0</v>
      </c>
      <c r="J110" s="224">
        <f t="shared" si="24"/>
        <v>0</v>
      </c>
      <c r="K110" s="224">
        <f t="shared" si="24"/>
        <v>0</v>
      </c>
    </row>
    <row r="111" spans="1:11" s="749" customFormat="1" ht="18" customHeight="1" x14ac:dyDescent="0.2">
      <c r="A111" s="747" t="s">
        <v>333</v>
      </c>
      <c r="B111" s="748"/>
      <c r="C111" s="685"/>
      <c r="D111" s="685"/>
      <c r="E111" s="685"/>
      <c r="F111" s="685"/>
      <c r="G111" s="685"/>
      <c r="H111" s="685"/>
      <c r="I111" s="685"/>
      <c r="J111" s="685"/>
      <c r="K111" s="686"/>
    </row>
    <row r="112" spans="1:11" ht="12.75" customHeight="1" x14ac:dyDescent="0.2">
      <c r="A112" s="750" t="s">
        <v>334</v>
      </c>
      <c r="B112" s="751"/>
      <c r="C112" s="687"/>
      <c r="D112" s="687"/>
      <c r="E112" s="687"/>
      <c r="F112" s="687"/>
      <c r="G112" s="687"/>
      <c r="H112" s="688"/>
      <c r="I112" s="687"/>
      <c r="J112" s="688"/>
      <c r="K112" s="687"/>
    </row>
    <row r="113" spans="1:14" ht="14.25" customHeight="1" thickBot="1" x14ac:dyDescent="0.25">
      <c r="A113" s="752" t="s">
        <v>684</v>
      </c>
      <c r="B113" s="753"/>
      <c r="C113" s="248">
        <f>C46</f>
        <v>-1500000</v>
      </c>
      <c r="D113" s="248">
        <f t="shared" ref="D113:K113" si="25">D46</f>
        <v>0</v>
      </c>
      <c r="E113" s="248">
        <f t="shared" si="25"/>
        <v>600000</v>
      </c>
      <c r="F113" s="248">
        <f t="shared" si="25"/>
        <v>0</v>
      </c>
      <c r="G113" s="248">
        <f t="shared" si="25"/>
        <v>0</v>
      </c>
      <c r="H113" s="248">
        <f t="shared" si="25"/>
        <v>900000</v>
      </c>
      <c r="I113" s="248">
        <f t="shared" si="25"/>
        <v>0</v>
      </c>
      <c r="J113" s="248">
        <f t="shared" si="25"/>
        <v>0</v>
      </c>
      <c r="K113" s="248">
        <f t="shared" si="25"/>
        <v>0</v>
      </c>
    </row>
    <row r="114" spans="1:14" ht="12.75" customHeight="1" thickTop="1" x14ac:dyDescent="0.2">
      <c r="A114" s="754" t="s">
        <v>335</v>
      </c>
      <c r="B114" s="755"/>
      <c r="C114" s="249"/>
      <c r="D114" s="249"/>
      <c r="E114" s="249"/>
      <c r="F114" s="249"/>
      <c r="G114" s="249"/>
      <c r="H114" s="250"/>
      <c r="I114" s="249"/>
      <c r="J114" s="250"/>
      <c r="K114" s="249"/>
    </row>
    <row r="115" spans="1:14" ht="0.75" customHeight="1" x14ac:dyDescent="0.2">
      <c r="A115" s="756"/>
      <c r="B115" s="757"/>
      <c r="C115" s="251"/>
      <c r="D115" s="251"/>
      <c r="E115" s="251"/>
      <c r="F115" s="251"/>
      <c r="G115" s="251"/>
      <c r="H115" s="250"/>
      <c r="I115" s="251"/>
      <c r="J115" s="250"/>
      <c r="K115" s="251"/>
    </row>
    <row r="116" spans="1:14" ht="15.75" thickBot="1" x14ac:dyDescent="0.25">
      <c r="A116" s="758" t="s">
        <v>687</v>
      </c>
      <c r="B116" s="759"/>
      <c r="C116" s="263">
        <f>C79</f>
        <v>0</v>
      </c>
      <c r="D116" s="263">
        <f t="shared" ref="D116:K116" si="26">D79</f>
        <v>0</v>
      </c>
      <c r="E116" s="263">
        <f t="shared" si="26"/>
        <v>0</v>
      </c>
      <c r="F116" s="263">
        <f t="shared" si="26"/>
        <v>0</v>
      </c>
      <c r="G116" s="263">
        <f t="shared" si="26"/>
        <v>0</v>
      </c>
      <c r="H116" s="263">
        <f t="shared" si="26"/>
        <v>0</v>
      </c>
      <c r="I116" s="263">
        <f t="shared" si="26"/>
        <v>0</v>
      </c>
      <c r="J116" s="263">
        <f t="shared" si="26"/>
        <v>0</v>
      </c>
      <c r="K116" s="263">
        <f t="shared" si="26"/>
        <v>0</v>
      </c>
    </row>
    <row r="117" spans="1:14" ht="14.25" thickTop="1" thickBot="1" x14ac:dyDescent="0.25">
      <c r="A117" s="760" t="s">
        <v>336</v>
      </c>
      <c r="B117" s="761"/>
      <c r="C117" s="248">
        <f>C80</f>
        <v>-1500000</v>
      </c>
      <c r="D117" s="248">
        <f t="shared" ref="D117:K117" si="27">D80</f>
        <v>0</v>
      </c>
      <c r="E117" s="248">
        <f t="shared" si="27"/>
        <v>600000</v>
      </c>
      <c r="F117" s="248">
        <f t="shared" si="27"/>
        <v>0</v>
      </c>
      <c r="G117" s="248">
        <f t="shared" si="27"/>
        <v>0</v>
      </c>
      <c r="H117" s="248">
        <f t="shared" si="27"/>
        <v>900000</v>
      </c>
      <c r="I117" s="248">
        <f t="shared" si="27"/>
        <v>0</v>
      </c>
      <c r="J117" s="248">
        <f t="shared" si="27"/>
        <v>0</v>
      </c>
      <c r="K117" s="248">
        <f t="shared" si="27"/>
        <v>0</v>
      </c>
    </row>
    <row r="118" spans="1:14" ht="23.25" thickTop="1" x14ac:dyDescent="0.2">
      <c r="A118" s="762" t="str">
        <f>"ESTIMATED ENDING FUND BALANCE (All Sources with Student Activity Funds) as of June 30, "&amp;'B23'!E2</f>
        <v>ESTIMATED ENDING FUND BALANCE (All Sources with Student Activity Funds) as of June 30, 2023</v>
      </c>
      <c r="B118" s="763"/>
      <c r="C118" s="764">
        <f>C81+C89</f>
        <v>24875010</v>
      </c>
      <c r="D118" s="764">
        <f t="shared" ref="D118:K118" si="28">D81+D89</f>
        <v>2879273</v>
      </c>
      <c r="E118" s="764">
        <f t="shared" si="28"/>
        <v>1375333</v>
      </c>
      <c r="F118" s="764">
        <f t="shared" si="28"/>
        <v>2579010</v>
      </c>
      <c r="G118" s="764">
        <f t="shared" si="28"/>
        <v>457822</v>
      </c>
      <c r="H118" s="764">
        <f t="shared" si="28"/>
        <v>2194667</v>
      </c>
      <c r="I118" s="764">
        <f t="shared" si="28"/>
        <v>4147137</v>
      </c>
      <c r="J118" s="764">
        <f t="shared" si="28"/>
        <v>840</v>
      </c>
      <c r="K118" s="764">
        <f t="shared" si="28"/>
        <v>0</v>
      </c>
    </row>
    <row r="119" spans="1:14" ht="12.75" customHeight="1" x14ac:dyDescent="0.2">
      <c r="A119" s="765"/>
      <c r="B119" s="766"/>
      <c r="C119" s="614"/>
      <c r="D119" s="614"/>
      <c r="E119" s="614"/>
      <c r="F119" s="614"/>
      <c r="G119" s="614"/>
      <c r="H119" s="614"/>
      <c r="I119" s="614"/>
      <c r="J119" s="614"/>
      <c r="K119" s="614"/>
      <c r="L119" s="767"/>
    </row>
    <row r="120" spans="1:14" ht="12" x14ac:dyDescent="0.15">
      <c r="A120" s="264" t="s">
        <v>749</v>
      </c>
      <c r="B120" s="768"/>
      <c r="C120" s="768"/>
      <c r="D120" s="768"/>
      <c r="E120" s="768"/>
      <c r="F120" s="768"/>
      <c r="G120" s="768"/>
      <c r="H120" s="768"/>
      <c r="I120" s="768"/>
      <c r="J120" s="768"/>
      <c r="K120" s="768"/>
      <c r="L120" s="768"/>
      <c r="M120" s="769"/>
      <c r="N120" s="769"/>
    </row>
    <row r="121" spans="1:14" ht="12" x14ac:dyDescent="0.15">
      <c r="A121" s="265"/>
      <c r="B121" s="770"/>
      <c r="C121" s="266" t="s">
        <v>232</v>
      </c>
      <c r="D121" s="266" t="s">
        <v>233</v>
      </c>
      <c r="E121" s="266" t="s">
        <v>428</v>
      </c>
      <c r="F121" s="266" t="s">
        <v>429</v>
      </c>
      <c r="G121" s="266" t="s">
        <v>430</v>
      </c>
      <c r="H121" s="266" t="s">
        <v>431</v>
      </c>
      <c r="I121" s="266" t="s">
        <v>432</v>
      </c>
      <c r="J121" s="266" t="s">
        <v>433</v>
      </c>
      <c r="K121" s="266" t="s">
        <v>434</v>
      </c>
      <c r="L121" s="266"/>
    </row>
    <row r="122" spans="1:14" ht="36" x14ac:dyDescent="0.15">
      <c r="A122" s="267" t="s">
        <v>134</v>
      </c>
      <c r="B122" s="771" t="s">
        <v>445</v>
      </c>
      <c r="C122" s="268" t="s">
        <v>462</v>
      </c>
      <c r="D122" s="268" t="s">
        <v>234</v>
      </c>
      <c r="E122" s="268" t="s">
        <v>372</v>
      </c>
      <c r="F122" s="268" t="s">
        <v>435</v>
      </c>
      <c r="G122" s="268" t="s">
        <v>496</v>
      </c>
      <c r="H122" s="268" t="s">
        <v>373</v>
      </c>
      <c r="I122" s="268" t="s">
        <v>437</v>
      </c>
      <c r="J122" s="268" t="s">
        <v>374</v>
      </c>
      <c r="K122" s="268" t="s">
        <v>438</v>
      </c>
      <c r="L122" s="268" t="s">
        <v>312</v>
      </c>
    </row>
    <row r="123" spans="1:14" ht="18" customHeight="1" x14ac:dyDescent="0.2">
      <c r="A123" s="772" t="s">
        <v>313</v>
      </c>
      <c r="B123" s="773"/>
      <c r="C123" s="774"/>
      <c r="D123" s="774"/>
      <c r="E123" s="775"/>
      <c r="F123" s="774"/>
      <c r="G123" s="775"/>
      <c r="H123" s="774"/>
      <c r="I123" s="775"/>
      <c r="J123" s="774"/>
      <c r="K123" s="774"/>
      <c r="L123" s="774"/>
    </row>
    <row r="124" spans="1:14" ht="12" x14ac:dyDescent="0.15">
      <c r="A124" s="776" t="s">
        <v>404</v>
      </c>
      <c r="B124" s="777">
        <v>100</v>
      </c>
      <c r="C124" s="537">
        <f>'EstExp 12-20'!D116</f>
        <v>57441050</v>
      </c>
      <c r="D124" s="537">
        <f>'EstExp 12-20'!D155</f>
        <v>3752000</v>
      </c>
      <c r="E124" s="778"/>
      <c r="F124" s="537">
        <f>'EstExp 12-20'!D214</f>
        <v>59000</v>
      </c>
      <c r="G124" s="779"/>
      <c r="H124" s="537">
        <f>'EstExp 12-20'!D309</f>
        <v>0</v>
      </c>
      <c r="I124" s="778"/>
      <c r="J124" s="537">
        <f>'EstExp 12-20'!D$428</f>
        <v>0</v>
      </c>
      <c r="K124" s="537">
        <f>'EstExp 12-20'!D453</f>
        <v>0</v>
      </c>
      <c r="L124" s="780">
        <f t="shared" ref="L124:L132" si="29">SUM(C124:K124)</f>
        <v>61252050</v>
      </c>
    </row>
    <row r="125" spans="1:14" ht="12" x14ac:dyDescent="0.15">
      <c r="A125" s="776" t="s">
        <v>405</v>
      </c>
      <c r="B125" s="777">
        <v>200</v>
      </c>
      <c r="C125" s="537">
        <f>'EstExp 12-20'!E116</f>
        <v>6732000</v>
      </c>
      <c r="D125" s="537">
        <f>'EstExp 12-20'!E155</f>
        <v>534000</v>
      </c>
      <c r="E125" s="779"/>
      <c r="F125" s="537">
        <f>'EstExp 12-20'!E214</f>
        <v>2500</v>
      </c>
      <c r="G125" s="537">
        <f>'EstExp 12-20'!E292</f>
        <v>3400000</v>
      </c>
      <c r="H125" s="537">
        <f>'EstExp 12-20'!E309</f>
        <v>0</v>
      </c>
      <c r="I125" s="778"/>
      <c r="J125" s="537">
        <f>'EstExp 12-20'!E428</f>
        <v>0</v>
      </c>
      <c r="K125" s="537">
        <f>'EstExp 12-20'!E453</f>
        <v>0</v>
      </c>
      <c r="L125" s="780">
        <f t="shared" si="29"/>
        <v>10668500</v>
      </c>
    </row>
    <row r="126" spans="1:14" ht="12" x14ac:dyDescent="0.15">
      <c r="A126" s="776" t="s">
        <v>406</v>
      </c>
      <c r="B126" s="777">
        <v>300</v>
      </c>
      <c r="C126" s="537">
        <f>'EstExp 12-20'!F116</f>
        <v>3786100</v>
      </c>
      <c r="D126" s="537">
        <f>'EstExp 12-20'!F155</f>
        <v>1973000</v>
      </c>
      <c r="E126" s="537">
        <f>'EstExp 12-20'!F178</f>
        <v>0</v>
      </c>
      <c r="F126" s="537">
        <f>'EstExp 12-20'!F214</f>
        <v>1188500</v>
      </c>
      <c r="G126" s="781"/>
      <c r="H126" s="537">
        <f>'EstExp 12-20'!F309</f>
        <v>0</v>
      </c>
      <c r="I126" s="778"/>
      <c r="J126" s="537">
        <f>'EstExp 12-20'!F428</f>
        <v>360000</v>
      </c>
      <c r="K126" s="537">
        <f>'EstExp 12-20'!F453</f>
        <v>0</v>
      </c>
      <c r="L126" s="780">
        <f t="shared" si="29"/>
        <v>7307600</v>
      </c>
    </row>
    <row r="127" spans="1:14" ht="12" x14ac:dyDescent="0.15">
      <c r="A127" s="776" t="s">
        <v>407</v>
      </c>
      <c r="B127" s="777">
        <v>400</v>
      </c>
      <c r="C127" s="537">
        <f>'EstExp 12-20'!G116</f>
        <v>2705350</v>
      </c>
      <c r="D127" s="537">
        <f>'EstExp 12-20'!G155</f>
        <v>1215000</v>
      </c>
      <c r="E127" s="781"/>
      <c r="F127" s="537">
        <f>'EstExp 12-20'!G214</f>
        <v>0</v>
      </c>
      <c r="G127" s="778"/>
      <c r="H127" s="537">
        <f>'EstExp 12-20'!G309</f>
        <v>0</v>
      </c>
      <c r="I127" s="778"/>
      <c r="J127" s="537">
        <f>'EstExp 12-20'!G428</f>
        <v>0</v>
      </c>
      <c r="K127" s="537">
        <f>'EstExp 12-20'!G453</f>
        <v>0</v>
      </c>
      <c r="L127" s="780">
        <f t="shared" si="29"/>
        <v>3920350</v>
      </c>
    </row>
    <row r="128" spans="1:14" ht="12" x14ac:dyDescent="0.15">
      <c r="A128" s="776" t="s">
        <v>408</v>
      </c>
      <c r="B128" s="777">
        <v>500</v>
      </c>
      <c r="C128" s="537">
        <f>'EstExp 12-20'!H116</f>
        <v>833700</v>
      </c>
      <c r="D128" s="537">
        <f>'EstExp 12-20'!H155</f>
        <v>743000</v>
      </c>
      <c r="E128" s="779"/>
      <c r="F128" s="537">
        <f>'EstExp 12-20'!H214</f>
        <v>0</v>
      </c>
      <c r="G128" s="779"/>
      <c r="H128" s="537">
        <f>'EstExp 12-20'!H309</f>
        <v>3880000</v>
      </c>
      <c r="I128" s="778"/>
      <c r="J128" s="537">
        <f>'EstExp 12-20'!H428</f>
        <v>0</v>
      </c>
      <c r="K128" s="537">
        <f>'EstExp 12-20'!H453</f>
        <v>0</v>
      </c>
      <c r="L128" s="780">
        <f t="shared" si="29"/>
        <v>5456700</v>
      </c>
    </row>
    <row r="129" spans="1:12" ht="12" x14ac:dyDescent="0.15">
      <c r="A129" s="776" t="s">
        <v>409</v>
      </c>
      <c r="B129" s="777">
        <v>600</v>
      </c>
      <c r="C129" s="537">
        <f>'EstExp 12-20'!I116</f>
        <v>7745800</v>
      </c>
      <c r="D129" s="537">
        <f>'EstExp 12-20'!I155</f>
        <v>3000</v>
      </c>
      <c r="E129" s="537">
        <f>'EstExp 12-20'!I178</f>
        <v>3619000</v>
      </c>
      <c r="F129" s="537">
        <f>'EstExp 12-20'!I214</f>
        <v>0</v>
      </c>
      <c r="G129" s="537">
        <f>'EstExp 12-20'!I292</f>
        <v>0</v>
      </c>
      <c r="H129" s="537">
        <f>'EstExp 12-20'!I309</f>
        <v>0</v>
      </c>
      <c r="I129" s="778"/>
      <c r="J129" s="537">
        <f>'EstExp 12-20'!I428</f>
        <v>0</v>
      </c>
      <c r="K129" s="537">
        <f>'EstExp 12-20'!I453</f>
        <v>0</v>
      </c>
      <c r="L129" s="780">
        <f t="shared" si="29"/>
        <v>11367800</v>
      </c>
    </row>
    <row r="130" spans="1:12" ht="12" x14ac:dyDescent="0.15">
      <c r="A130" s="776" t="s">
        <v>339</v>
      </c>
      <c r="B130" s="777">
        <v>700</v>
      </c>
      <c r="C130" s="537">
        <f>'EstExp 12-20'!J116</f>
        <v>0</v>
      </c>
      <c r="D130" s="537">
        <f>'EstExp 12-20'!J155</f>
        <v>0</v>
      </c>
      <c r="E130" s="782"/>
      <c r="F130" s="537">
        <f>'EstExp 12-20'!J214</f>
        <v>0</v>
      </c>
      <c r="G130" s="781"/>
      <c r="H130" s="537">
        <f>'EstExp 12-20'!J309</f>
        <v>0</v>
      </c>
      <c r="I130" s="778"/>
      <c r="J130" s="537">
        <f>'EstExp 12-20'!J428</f>
        <v>0</v>
      </c>
      <c r="K130" s="537">
        <f>'EstExp 12-20'!J453</f>
        <v>0</v>
      </c>
      <c r="L130" s="780">
        <f t="shared" si="29"/>
        <v>0</v>
      </c>
    </row>
    <row r="131" spans="1:12" ht="12" x14ac:dyDescent="0.15">
      <c r="A131" s="776" t="s">
        <v>278</v>
      </c>
      <c r="B131" s="777">
        <v>800</v>
      </c>
      <c r="C131" s="537">
        <f>'EstExp 12-20'!K116</f>
        <v>0</v>
      </c>
      <c r="D131" s="537">
        <f>'EstExp 12-20'!K155</f>
        <v>0</v>
      </c>
      <c r="E131" s="779"/>
      <c r="F131" s="537">
        <f>'EstExp 12-20'!K214</f>
        <v>0</v>
      </c>
      <c r="G131" s="779"/>
      <c r="H131" s="783"/>
      <c r="I131" s="778"/>
      <c r="J131" s="537">
        <f>'EstExp 12-20'!K428</f>
        <v>0</v>
      </c>
      <c r="K131" s="783"/>
      <c r="L131" s="780">
        <f t="shared" si="29"/>
        <v>0</v>
      </c>
    </row>
    <row r="132" spans="1:12" ht="12" customHeight="1" thickBot="1" x14ac:dyDescent="0.2">
      <c r="A132" s="784" t="s">
        <v>291</v>
      </c>
      <c r="B132" s="785"/>
      <c r="C132" s="539">
        <f t="shared" ref="C132:H132" si="30">SUM(C124:C131)</f>
        <v>79244000</v>
      </c>
      <c r="D132" s="539">
        <f t="shared" si="30"/>
        <v>8220000</v>
      </c>
      <c r="E132" s="539">
        <f t="shared" si="30"/>
        <v>3619000</v>
      </c>
      <c r="F132" s="539">
        <f t="shared" si="30"/>
        <v>1250000</v>
      </c>
      <c r="G132" s="539">
        <f t="shared" si="30"/>
        <v>3400000</v>
      </c>
      <c r="H132" s="539">
        <f t="shared" si="30"/>
        <v>3880000</v>
      </c>
      <c r="I132" s="786"/>
      <c r="J132" s="539">
        <f>SUM(J124:J131)</f>
        <v>360000</v>
      </c>
      <c r="K132" s="539">
        <f>SUM(K124:K131)</f>
        <v>0</v>
      </c>
      <c r="L132" s="787">
        <f t="shared" si="29"/>
        <v>99973000</v>
      </c>
    </row>
    <row r="133" spans="1:12" ht="9.75" thickTop="1" x14ac:dyDescent="0.15"/>
  </sheetData>
  <sheetProtection algorithmName="SHA-512" hashValue="gfQnLY1OTVBN8eZTO7cJM+3qynM+b+PP35HoFbSy+3/wkoAdEp1alsCb0boxcoanE9D+QIhVaJ5MOuYbI20Ljg==" saltValue="PJ94bDNXluI/ll2kcdlHJA==" spinCount="100000" sheet="1" objects="1" scenarios="1"/>
  <phoneticPr fontId="6"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2" manualBreakCount="2">
    <brk id="46" max="16383" man="1"/>
    <brk id="90" max="11" man="1"/>
  </rowBreaks>
  <ignoredErrors>
    <ignoredError sqref="B27" numberStoredAsText="1"/>
    <ignoredError sqref="I51"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K38"/>
  <sheetViews>
    <sheetView showGridLines="0" zoomScaleNormal="100" workbookViewId="0">
      <pane ySplit="2" topLeftCell="A10" activePane="bottomLeft" state="frozen"/>
      <selection pane="bottomLeft" activeCell="C24" sqref="C24"/>
    </sheetView>
  </sheetViews>
  <sheetFormatPr defaultColWidth="9.140625" defaultRowHeight="12.75" x14ac:dyDescent="0.2"/>
  <cols>
    <col min="1" max="1" width="49.5703125" style="153" customWidth="1"/>
    <col min="2" max="2" width="5.42578125" style="153" customWidth="1"/>
    <col min="3" max="7" width="13.7109375" style="153" customWidth="1"/>
    <col min="8" max="8" width="12.7109375" style="153" customWidth="1"/>
    <col min="9" max="11" width="13.7109375" style="153" customWidth="1"/>
    <col min="12" max="16384" width="9.140625" style="153"/>
  </cols>
  <sheetData>
    <row r="1" spans="1:11" ht="12.75" customHeight="1" x14ac:dyDescent="0.2">
      <c r="A1" s="1590"/>
      <c r="B1" s="1591"/>
      <c r="C1" s="1592" t="s">
        <v>232</v>
      </c>
      <c r="D1" s="1592" t="s">
        <v>233</v>
      </c>
      <c r="E1" s="1592" t="s">
        <v>428</v>
      </c>
      <c r="F1" s="1592" t="s">
        <v>429</v>
      </c>
      <c r="G1" s="1592" t="s">
        <v>430</v>
      </c>
      <c r="H1" s="1592" t="s">
        <v>431</v>
      </c>
      <c r="I1" s="1592" t="s">
        <v>432</v>
      </c>
      <c r="J1" s="1592" t="s">
        <v>433</v>
      </c>
      <c r="K1" s="1592" t="s">
        <v>434</v>
      </c>
    </row>
    <row r="2" spans="1:11" ht="36" x14ac:dyDescent="0.2">
      <c r="A2" s="820" t="s">
        <v>744</v>
      </c>
      <c r="B2" s="1593" t="s">
        <v>445</v>
      </c>
      <c r="C2" s="1560" t="s">
        <v>266</v>
      </c>
      <c r="D2" s="1560" t="s">
        <v>234</v>
      </c>
      <c r="E2" s="1560" t="s">
        <v>372</v>
      </c>
      <c r="F2" s="1560" t="s">
        <v>435</v>
      </c>
      <c r="G2" s="1594" t="s">
        <v>351</v>
      </c>
      <c r="H2" s="1594" t="s">
        <v>373</v>
      </c>
      <c r="I2" s="1594" t="s">
        <v>437</v>
      </c>
      <c r="J2" s="1594" t="s">
        <v>374</v>
      </c>
      <c r="K2" s="1594" t="s">
        <v>438</v>
      </c>
    </row>
    <row r="3" spans="1:11" s="714" customFormat="1" ht="30.75" customHeight="1" x14ac:dyDescent="0.2">
      <c r="A3" s="282" t="s">
        <v>3110</v>
      </c>
      <c r="B3" s="1571"/>
      <c r="C3" s="272">
        <f>6908740+96544403+3674+2197669-17542960-55173232</f>
        <v>32938294</v>
      </c>
      <c r="D3" s="272">
        <f>3426771+35957803-36024671</f>
        <v>3359903</v>
      </c>
      <c r="E3" s="272">
        <f>597566+8317062-6502503-2131011</f>
        <v>281114</v>
      </c>
      <c r="F3" s="272">
        <f>4563749+3079228-67452-4599438</f>
        <v>2976087</v>
      </c>
      <c r="G3" s="272">
        <f>230829+14259921-13129182</f>
        <v>1361568</v>
      </c>
      <c r="H3" s="272">
        <f>8300664-5453833</f>
        <v>2846831</v>
      </c>
      <c r="I3" s="272">
        <f>6275563-1977751</f>
        <v>4297812</v>
      </c>
      <c r="J3" s="272">
        <f>581+1701219-1504401</f>
        <v>197399</v>
      </c>
      <c r="K3" s="272"/>
    </row>
    <row r="4" spans="1:11" s="714" customFormat="1" ht="14.25" customHeight="1" thickBot="1" x14ac:dyDescent="0.25">
      <c r="A4" s="1716" t="s">
        <v>688</v>
      </c>
      <c r="B4" s="1717"/>
      <c r="C4" s="276">
        <f>'BudgetSum 2-4'!C9+'BudgetSum 2-4'!C46</f>
        <v>77744000</v>
      </c>
      <c r="D4" s="276">
        <f>'BudgetSum 2-4'!D9+'BudgetSum 2-4'!D46</f>
        <v>8220000</v>
      </c>
      <c r="E4" s="276">
        <f>'BudgetSum 2-4'!E9+'BudgetSum 2-4'!E46</f>
        <v>4219000</v>
      </c>
      <c r="F4" s="276">
        <f>'BudgetSum 2-4'!F9+'BudgetSum 2-4'!F46</f>
        <v>1250000</v>
      </c>
      <c r="G4" s="276">
        <f>'BudgetSum 2-4'!G9+'BudgetSum 2-4'!G46</f>
        <v>3400000</v>
      </c>
      <c r="H4" s="276">
        <f>'BudgetSum 2-4'!H9+'BudgetSum 2-4'!H46</f>
        <v>3680000</v>
      </c>
      <c r="I4" s="276">
        <f>'BudgetSum 2-4'!I9+'BudgetSum 2-4'!I46</f>
        <v>0</v>
      </c>
      <c r="J4" s="276">
        <f>'BudgetSum 2-4'!J9+'BudgetSum 2-4'!J46</f>
        <v>360000</v>
      </c>
      <c r="K4" s="276">
        <f>'BudgetSum 2-4'!K9+'BudgetSum 2-4'!K46</f>
        <v>0</v>
      </c>
    </row>
    <row r="5" spans="1:11" s="714" customFormat="1" thickTop="1" x14ac:dyDescent="0.2">
      <c r="A5" s="1581" t="s">
        <v>352</v>
      </c>
      <c r="B5" s="1589"/>
      <c r="C5" s="213"/>
      <c r="D5" s="213"/>
      <c r="E5" s="213"/>
      <c r="F5" s="213"/>
      <c r="G5" s="213"/>
      <c r="H5" s="213"/>
      <c r="I5" s="213"/>
      <c r="J5" s="213"/>
      <c r="K5" s="271"/>
    </row>
    <row r="6" spans="1:11" s="714" customFormat="1" ht="14.25" customHeight="1" x14ac:dyDescent="0.2">
      <c r="A6" s="1587" t="s">
        <v>82</v>
      </c>
      <c r="B6" s="1588">
        <v>411</v>
      </c>
      <c r="C6" s="272"/>
      <c r="D6" s="272"/>
      <c r="E6" s="272"/>
      <c r="F6" s="272"/>
      <c r="G6" s="272"/>
      <c r="H6" s="272"/>
      <c r="I6" s="273"/>
      <c r="J6" s="272"/>
      <c r="K6" s="272"/>
    </row>
    <row r="7" spans="1:11" s="714" customFormat="1" ht="14.25" customHeight="1" x14ac:dyDescent="0.2">
      <c r="A7" s="1574" t="s">
        <v>322</v>
      </c>
      <c r="B7" s="1586">
        <v>141</v>
      </c>
      <c r="C7" s="274"/>
      <c r="D7" s="274"/>
      <c r="E7" s="275"/>
      <c r="F7" s="274"/>
      <c r="G7" s="275"/>
      <c r="H7" s="273"/>
      <c r="I7" s="274"/>
      <c r="J7" s="275"/>
      <c r="K7" s="275"/>
    </row>
    <row r="8" spans="1:11" s="714" customFormat="1" ht="14.25" customHeight="1" x14ac:dyDescent="0.2">
      <c r="A8" s="1576" t="s">
        <v>390</v>
      </c>
      <c r="B8" s="1584">
        <v>433</v>
      </c>
      <c r="C8" s="272"/>
      <c r="D8" s="272"/>
      <c r="E8" s="272"/>
      <c r="F8" s="272"/>
      <c r="G8" s="272"/>
      <c r="H8" s="273"/>
      <c r="I8" s="273"/>
      <c r="J8" s="274"/>
      <c r="K8" s="274"/>
    </row>
    <row r="9" spans="1:11" s="714" customFormat="1" ht="14.25" customHeight="1" x14ac:dyDescent="0.2">
      <c r="A9" s="1576" t="s">
        <v>83</v>
      </c>
      <c r="B9" s="1585">
        <v>199</v>
      </c>
      <c r="C9" s="272"/>
      <c r="D9" s="272"/>
      <c r="E9" s="272"/>
      <c r="F9" s="272"/>
      <c r="G9" s="272"/>
      <c r="H9" s="274"/>
      <c r="I9" s="274"/>
      <c r="J9" s="272"/>
      <c r="K9" s="272"/>
    </row>
    <row r="10" spans="1:11" s="714" customFormat="1" ht="14.25" customHeight="1" thickBot="1" x14ac:dyDescent="0.25">
      <c r="A10" s="1579" t="s">
        <v>79</v>
      </c>
      <c r="B10" s="1580"/>
      <c r="C10" s="276">
        <f>SUM(C6:C9)</f>
        <v>0</v>
      </c>
      <c r="D10" s="276">
        <f t="shared" ref="D10:K10" si="0">SUM(D6:D9)</f>
        <v>0</v>
      </c>
      <c r="E10" s="276">
        <f t="shared" si="0"/>
        <v>0</v>
      </c>
      <c r="F10" s="276">
        <f t="shared" si="0"/>
        <v>0</v>
      </c>
      <c r="G10" s="276">
        <f t="shared" si="0"/>
        <v>0</v>
      </c>
      <c r="H10" s="276">
        <f t="shared" si="0"/>
        <v>0</v>
      </c>
      <c r="I10" s="276">
        <f t="shared" si="0"/>
        <v>0</v>
      </c>
      <c r="J10" s="276">
        <f t="shared" si="0"/>
        <v>0</v>
      </c>
      <c r="K10" s="276">
        <f t="shared" si="0"/>
        <v>0</v>
      </c>
    </row>
    <row r="11" spans="1:11" s="714" customFormat="1" ht="14.25" customHeight="1" thickTop="1" thickBot="1" x14ac:dyDescent="0.25">
      <c r="A11" s="1725" t="s">
        <v>47</v>
      </c>
      <c r="B11" s="1721"/>
      <c r="C11" s="277">
        <f>SUM(C4,C10)</f>
        <v>77744000</v>
      </c>
      <c r="D11" s="277">
        <f t="shared" ref="D11:K11" si="1">SUM(D4,D10)</f>
        <v>8220000</v>
      </c>
      <c r="E11" s="277">
        <f t="shared" si="1"/>
        <v>4219000</v>
      </c>
      <c r="F11" s="277">
        <f t="shared" si="1"/>
        <v>1250000</v>
      </c>
      <c r="G11" s="277">
        <f t="shared" si="1"/>
        <v>3400000</v>
      </c>
      <c r="H11" s="277">
        <f t="shared" si="1"/>
        <v>3680000</v>
      </c>
      <c r="I11" s="277">
        <f t="shared" si="1"/>
        <v>0</v>
      </c>
      <c r="J11" s="277">
        <f t="shared" si="1"/>
        <v>360000</v>
      </c>
      <c r="K11" s="277">
        <f t="shared" si="1"/>
        <v>0</v>
      </c>
    </row>
    <row r="12" spans="1:11" s="714" customFormat="1" ht="14.25" customHeight="1" thickTop="1" thickBot="1" x14ac:dyDescent="0.25">
      <c r="A12" s="1562" t="s">
        <v>80</v>
      </c>
      <c r="B12" s="1563"/>
      <c r="C12" s="277">
        <f>SUM(C3,C11)</f>
        <v>110682294</v>
      </c>
      <c r="D12" s="277">
        <f t="shared" ref="D12:K12" si="2">SUM(D3,D11)</f>
        <v>11579903</v>
      </c>
      <c r="E12" s="277">
        <f t="shared" si="2"/>
        <v>4500114</v>
      </c>
      <c r="F12" s="277">
        <f t="shared" si="2"/>
        <v>4226087</v>
      </c>
      <c r="G12" s="277">
        <f t="shared" si="2"/>
        <v>4761568</v>
      </c>
      <c r="H12" s="277">
        <f t="shared" si="2"/>
        <v>6526831</v>
      </c>
      <c r="I12" s="277">
        <f t="shared" si="2"/>
        <v>4297812</v>
      </c>
      <c r="J12" s="277">
        <f t="shared" si="2"/>
        <v>557399</v>
      </c>
      <c r="K12" s="277">
        <f t="shared" si="2"/>
        <v>0</v>
      </c>
    </row>
    <row r="13" spans="1:11" s="714" customFormat="1" ht="14.25" customHeight="1" thickTop="1" thickBot="1" x14ac:dyDescent="0.25">
      <c r="A13" s="1720" t="s">
        <v>689</v>
      </c>
      <c r="B13" s="1721"/>
      <c r="C13" s="223">
        <f>SUM('BudgetSum 2-4'!C19,'BudgetSum 2-4'!C79)</f>
        <v>79244000</v>
      </c>
      <c r="D13" s="223">
        <f>SUM('BudgetSum 2-4'!D19,'BudgetSum 2-4'!D79)</f>
        <v>8220000</v>
      </c>
      <c r="E13" s="223">
        <f>SUM('BudgetSum 2-4'!E19,'BudgetSum 2-4'!E79)</f>
        <v>3619000</v>
      </c>
      <c r="F13" s="223">
        <f>SUM('BudgetSum 2-4'!F19,'BudgetSum 2-4'!F79)</f>
        <v>1250000</v>
      </c>
      <c r="G13" s="223">
        <f>SUM('BudgetSum 2-4'!G19,'BudgetSum 2-4'!G79)</f>
        <v>3400000</v>
      </c>
      <c r="H13" s="223">
        <f>SUM('BudgetSum 2-4'!H19,'BudgetSum 2-4'!H79)</f>
        <v>3880000</v>
      </c>
      <c r="I13" s="223">
        <f>SUM('BudgetSum 2-4'!I19,'BudgetSum 2-4'!I79)</f>
        <v>0</v>
      </c>
      <c r="J13" s="223">
        <f>SUM('BudgetSum 2-4'!J19,'BudgetSum 2-4'!J79)</f>
        <v>360000</v>
      </c>
      <c r="K13" s="223">
        <f>SUM('BudgetSum 2-4'!K19,'BudgetSum 2-4'!K79)</f>
        <v>0</v>
      </c>
    </row>
    <row r="14" spans="1:11" s="1583" customFormat="1" thickTop="1" x14ac:dyDescent="0.2">
      <c r="A14" s="1581" t="s">
        <v>353</v>
      </c>
      <c r="B14" s="1582"/>
      <c r="C14" s="278"/>
      <c r="D14" s="278"/>
      <c r="E14" s="278"/>
      <c r="F14" s="278"/>
      <c r="G14" s="278"/>
      <c r="H14" s="278"/>
      <c r="I14" s="278"/>
      <c r="J14" s="278"/>
      <c r="K14" s="279"/>
    </row>
    <row r="15" spans="1:11" s="714" customFormat="1" ht="14.25" customHeight="1" x14ac:dyDescent="0.2">
      <c r="A15" s="1578" t="s">
        <v>690</v>
      </c>
      <c r="B15" s="736">
        <v>141</v>
      </c>
      <c r="C15" s="272"/>
      <c r="D15" s="272"/>
      <c r="E15" s="273"/>
      <c r="F15" s="272"/>
      <c r="G15" s="273"/>
      <c r="H15" s="273"/>
      <c r="I15" s="272"/>
      <c r="J15" s="273"/>
      <c r="K15" s="273"/>
    </row>
    <row r="16" spans="1:11" s="714" customFormat="1" ht="14.25" customHeight="1" x14ac:dyDescent="0.2">
      <c r="A16" s="1574" t="s">
        <v>418</v>
      </c>
      <c r="B16" s="1575">
        <v>411</v>
      </c>
      <c r="C16" s="272"/>
      <c r="D16" s="272"/>
      <c r="E16" s="274"/>
      <c r="F16" s="272"/>
      <c r="G16" s="274"/>
      <c r="H16" s="274"/>
      <c r="I16" s="273"/>
      <c r="J16" s="274"/>
      <c r="K16" s="274"/>
    </row>
    <row r="17" spans="1:11" s="714" customFormat="1" ht="14.25" customHeight="1" x14ac:dyDescent="0.2">
      <c r="A17" s="1576" t="s">
        <v>390</v>
      </c>
      <c r="B17" s="1577">
        <v>433</v>
      </c>
      <c r="C17" s="272"/>
      <c r="D17" s="272"/>
      <c r="E17" s="272"/>
      <c r="F17" s="272"/>
      <c r="G17" s="272"/>
      <c r="H17" s="273"/>
      <c r="I17" s="273"/>
      <c r="J17" s="272"/>
      <c r="K17" s="272"/>
    </row>
    <row r="18" spans="1:11" s="714" customFormat="1" ht="14.25" customHeight="1" x14ac:dyDescent="0.2">
      <c r="A18" s="1574" t="s">
        <v>391</v>
      </c>
      <c r="B18" s="1575">
        <v>499</v>
      </c>
      <c r="C18" s="272"/>
      <c r="D18" s="272"/>
      <c r="E18" s="272"/>
      <c r="F18" s="272"/>
      <c r="G18" s="272"/>
      <c r="H18" s="274"/>
      <c r="I18" s="274"/>
      <c r="J18" s="272"/>
      <c r="K18" s="272"/>
    </row>
    <row r="19" spans="1:11" s="714" customFormat="1" ht="14.25" customHeight="1" thickBot="1" x14ac:dyDescent="0.25">
      <c r="A19" s="1716" t="s">
        <v>81</v>
      </c>
      <c r="B19" s="1717"/>
      <c r="C19" s="280">
        <f t="shared" ref="C19:K19" si="3">SUM(C15:C18)</f>
        <v>0</v>
      </c>
      <c r="D19" s="280">
        <f t="shared" si="3"/>
        <v>0</v>
      </c>
      <c r="E19" s="280">
        <f t="shared" si="3"/>
        <v>0</v>
      </c>
      <c r="F19" s="280">
        <f t="shared" si="3"/>
        <v>0</v>
      </c>
      <c r="G19" s="280">
        <f t="shared" si="3"/>
        <v>0</v>
      </c>
      <c r="H19" s="280">
        <f t="shared" si="3"/>
        <v>0</v>
      </c>
      <c r="I19" s="280">
        <f t="shared" si="3"/>
        <v>0</v>
      </c>
      <c r="J19" s="280">
        <f t="shared" si="3"/>
        <v>0</v>
      </c>
      <c r="K19" s="280">
        <f t="shared" si="3"/>
        <v>0</v>
      </c>
    </row>
    <row r="20" spans="1:11" s="714" customFormat="1" ht="14.25" customHeight="1" thickTop="1" thickBot="1" x14ac:dyDescent="0.25">
      <c r="A20" s="1572" t="s">
        <v>48</v>
      </c>
      <c r="B20" s="1573"/>
      <c r="C20" s="223">
        <f>SUM(C13,C19)</f>
        <v>79244000</v>
      </c>
      <c r="D20" s="223">
        <f>SUM(D13,D19)</f>
        <v>8220000</v>
      </c>
      <c r="E20" s="223">
        <f t="shared" ref="E20:K20" si="4">SUM(E13,E19)</f>
        <v>3619000</v>
      </c>
      <c r="F20" s="223">
        <f t="shared" si="4"/>
        <v>1250000</v>
      </c>
      <c r="G20" s="223">
        <f t="shared" si="4"/>
        <v>3400000</v>
      </c>
      <c r="H20" s="223">
        <f t="shared" si="4"/>
        <v>3880000</v>
      </c>
      <c r="I20" s="223">
        <f t="shared" si="4"/>
        <v>0</v>
      </c>
      <c r="J20" s="223">
        <f t="shared" si="4"/>
        <v>360000</v>
      </c>
      <c r="K20" s="223">
        <f t="shared" si="4"/>
        <v>0</v>
      </c>
    </row>
    <row r="21" spans="1:11" s="714" customFormat="1" ht="28.5" customHeight="1" thickTop="1" thickBot="1" x14ac:dyDescent="0.25">
      <c r="A21" s="1718" t="s">
        <v>3115</v>
      </c>
      <c r="B21" s="1719"/>
      <c r="C21" s="212">
        <f>SUM(C12-C20)</f>
        <v>31438294</v>
      </c>
      <c r="D21" s="212">
        <f t="shared" ref="D21:K21" si="5">SUM(D12-D20)</f>
        <v>3359903</v>
      </c>
      <c r="E21" s="212">
        <f t="shared" si="5"/>
        <v>881114</v>
      </c>
      <c r="F21" s="212">
        <f t="shared" si="5"/>
        <v>2976087</v>
      </c>
      <c r="G21" s="212">
        <f t="shared" si="5"/>
        <v>1361568</v>
      </c>
      <c r="H21" s="212">
        <f t="shared" si="5"/>
        <v>2646831</v>
      </c>
      <c r="I21" s="212">
        <f t="shared" si="5"/>
        <v>4297812</v>
      </c>
      <c r="J21" s="212">
        <f t="shared" si="5"/>
        <v>197399</v>
      </c>
      <c r="K21" s="212">
        <f t="shared" si="5"/>
        <v>0</v>
      </c>
    </row>
    <row r="22" spans="1:11" s="1561" customFormat="1" ht="18" customHeight="1" thickTop="1" x14ac:dyDescent="0.2">
      <c r="A22" s="720"/>
      <c r="B22" s="721"/>
      <c r="C22" s="722"/>
      <c r="D22" s="722"/>
      <c r="E22" s="722"/>
      <c r="F22" s="722"/>
      <c r="G22" s="722"/>
      <c r="H22" s="722"/>
      <c r="I22" s="722"/>
      <c r="J22" s="722"/>
      <c r="K22" s="722"/>
    </row>
    <row r="23" spans="1:11" s="1561" customFormat="1" ht="34.5" customHeight="1" thickBot="1" x14ac:dyDescent="0.25">
      <c r="A23" s="282" t="s">
        <v>3111</v>
      </c>
      <c r="B23" s="1571"/>
      <c r="C23" s="270">
        <v>2985530</v>
      </c>
      <c r="D23" s="273"/>
      <c r="E23" s="273"/>
      <c r="F23" s="273"/>
      <c r="G23" s="273"/>
      <c r="H23" s="273"/>
      <c r="I23" s="273"/>
      <c r="J23" s="273"/>
      <c r="K23" s="273"/>
    </row>
    <row r="24" spans="1:11" s="1561" customFormat="1" ht="24" customHeight="1" thickTop="1" thickBot="1" x14ac:dyDescent="0.25">
      <c r="A24" s="1716" t="s">
        <v>688</v>
      </c>
      <c r="B24" s="1717"/>
      <c r="C24" s="223">
        <f>'BudgetSum 2-4'!C85</f>
        <v>0</v>
      </c>
      <c r="D24" s="273"/>
      <c r="E24" s="273"/>
      <c r="F24" s="273"/>
      <c r="G24" s="273"/>
      <c r="H24" s="273"/>
      <c r="I24" s="273"/>
      <c r="J24" s="273"/>
      <c r="K24" s="273"/>
    </row>
    <row r="25" spans="1:11" ht="14.25" thickTop="1" thickBot="1" x14ac:dyDescent="0.25">
      <c r="A25" s="1562" t="s">
        <v>80</v>
      </c>
      <c r="B25" s="1563"/>
      <c r="C25" s="277">
        <f>SUM(C23,C24)</f>
        <v>2985530</v>
      </c>
      <c r="D25" s="273"/>
      <c r="E25" s="273"/>
      <c r="F25" s="273"/>
      <c r="G25" s="273"/>
      <c r="H25" s="273"/>
      <c r="I25" s="273"/>
      <c r="J25" s="273"/>
      <c r="K25" s="273"/>
    </row>
    <row r="26" spans="1:11" ht="14.25" thickTop="1" thickBot="1" x14ac:dyDescent="0.25">
      <c r="A26" s="1720" t="s">
        <v>689</v>
      </c>
      <c r="B26" s="1721"/>
      <c r="C26" s="223">
        <f>'BudgetSum 2-4'!C87</f>
        <v>0</v>
      </c>
      <c r="D26" s="273"/>
      <c r="E26" s="273"/>
      <c r="F26" s="273"/>
      <c r="G26" s="273"/>
      <c r="H26" s="273"/>
      <c r="I26" s="273"/>
      <c r="J26" s="273"/>
      <c r="K26" s="273"/>
    </row>
    <row r="27" spans="1:11" ht="26.1" customHeight="1" thickTop="1" thickBot="1" x14ac:dyDescent="0.25">
      <c r="A27" s="1718" t="s">
        <v>3112</v>
      </c>
      <c r="B27" s="1719"/>
      <c r="C27" s="212">
        <f>SUM(C25-C26)</f>
        <v>2985530</v>
      </c>
      <c r="D27" s="273"/>
      <c r="E27" s="273"/>
      <c r="F27" s="273"/>
      <c r="G27" s="273"/>
      <c r="H27" s="273"/>
      <c r="I27" s="273"/>
      <c r="J27" s="273"/>
      <c r="K27" s="273"/>
    </row>
    <row r="28" spans="1:11" ht="18" customHeight="1" thickTop="1" thickBot="1" x14ac:dyDescent="0.25">
      <c r="A28" s="720"/>
      <c r="B28" s="721"/>
      <c r="C28" s="722"/>
      <c r="D28" s="722"/>
      <c r="E28" s="722"/>
      <c r="F28" s="722"/>
      <c r="G28" s="722"/>
      <c r="H28" s="722"/>
      <c r="I28" s="722"/>
      <c r="J28" s="722"/>
      <c r="K28" s="722"/>
    </row>
    <row r="29" spans="1:11" ht="27.75" thickTop="1" thickBot="1" x14ac:dyDescent="0.25">
      <c r="A29" s="634" t="s">
        <v>3113</v>
      </c>
      <c r="B29" s="1564"/>
      <c r="C29" s="627">
        <f>C3+C23</f>
        <v>35923824</v>
      </c>
      <c r="D29" s="627">
        <f t="shared" ref="D29:K30" si="6">D3</f>
        <v>3359903</v>
      </c>
      <c r="E29" s="627">
        <f t="shared" si="6"/>
        <v>281114</v>
      </c>
      <c r="F29" s="627">
        <f t="shared" si="6"/>
        <v>2976087</v>
      </c>
      <c r="G29" s="627">
        <f t="shared" si="6"/>
        <v>1361568</v>
      </c>
      <c r="H29" s="627">
        <f t="shared" si="6"/>
        <v>2846831</v>
      </c>
      <c r="I29" s="627">
        <f t="shared" si="6"/>
        <v>4297812</v>
      </c>
      <c r="J29" s="627">
        <f t="shared" si="6"/>
        <v>197399</v>
      </c>
      <c r="K29" s="627">
        <f t="shared" si="6"/>
        <v>0</v>
      </c>
    </row>
    <row r="30" spans="1:11" ht="13.5" thickTop="1" x14ac:dyDescent="0.2">
      <c r="A30" s="1722" t="s">
        <v>688</v>
      </c>
      <c r="B30" s="1723"/>
      <c r="C30" s="627">
        <f>C4+C24</f>
        <v>77744000</v>
      </c>
      <c r="D30" s="627">
        <f t="shared" si="6"/>
        <v>8220000</v>
      </c>
      <c r="E30" s="627">
        <f t="shared" si="6"/>
        <v>4219000</v>
      </c>
      <c r="F30" s="627">
        <f t="shared" si="6"/>
        <v>1250000</v>
      </c>
      <c r="G30" s="627">
        <f t="shared" si="6"/>
        <v>3400000</v>
      </c>
      <c r="H30" s="627">
        <f t="shared" si="6"/>
        <v>3680000</v>
      </c>
      <c r="I30" s="627">
        <f t="shared" si="6"/>
        <v>0</v>
      </c>
      <c r="J30" s="627">
        <f t="shared" si="6"/>
        <v>360000</v>
      </c>
      <c r="K30" s="627">
        <f t="shared" si="6"/>
        <v>0</v>
      </c>
    </row>
    <row r="31" spans="1:11" x14ac:dyDescent="0.2">
      <c r="A31" s="1565" t="s">
        <v>79</v>
      </c>
      <c r="B31" s="1566"/>
      <c r="C31" s="207">
        <f t="shared" ref="C31:K31" si="7">C10</f>
        <v>0</v>
      </c>
      <c r="D31" s="207">
        <f t="shared" si="7"/>
        <v>0</v>
      </c>
      <c r="E31" s="207">
        <f t="shared" si="7"/>
        <v>0</v>
      </c>
      <c r="F31" s="207">
        <f t="shared" si="7"/>
        <v>0</v>
      </c>
      <c r="G31" s="207">
        <f t="shared" si="7"/>
        <v>0</v>
      </c>
      <c r="H31" s="207">
        <f t="shared" si="7"/>
        <v>0</v>
      </c>
      <c r="I31" s="207">
        <f t="shared" si="7"/>
        <v>0</v>
      </c>
      <c r="J31" s="207">
        <f t="shared" si="7"/>
        <v>0</v>
      </c>
      <c r="K31" s="207">
        <f t="shared" si="7"/>
        <v>0</v>
      </c>
    </row>
    <row r="32" spans="1:11" ht="13.5" thickBot="1" x14ac:dyDescent="0.25">
      <c r="A32" s="1724" t="s">
        <v>47</v>
      </c>
      <c r="B32" s="1717"/>
      <c r="C32" s="276">
        <f t="shared" ref="C32:K32" si="8">SUM(C30,C31)</f>
        <v>77744000</v>
      </c>
      <c r="D32" s="276">
        <f t="shared" si="8"/>
        <v>8220000</v>
      </c>
      <c r="E32" s="276">
        <f t="shared" si="8"/>
        <v>4219000</v>
      </c>
      <c r="F32" s="276">
        <f t="shared" si="8"/>
        <v>1250000</v>
      </c>
      <c r="G32" s="276">
        <f t="shared" si="8"/>
        <v>3400000</v>
      </c>
      <c r="H32" s="276">
        <f t="shared" si="8"/>
        <v>3680000</v>
      </c>
      <c r="I32" s="276">
        <f t="shared" si="8"/>
        <v>0</v>
      </c>
      <c r="J32" s="276">
        <f t="shared" si="8"/>
        <v>360000</v>
      </c>
      <c r="K32" s="276">
        <f t="shared" si="8"/>
        <v>0</v>
      </c>
    </row>
    <row r="33" spans="1:11" ht="14.25" thickTop="1" thickBot="1" x14ac:dyDescent="0.25">
      <c r="A33" s="1567" t="s">
        <v>80</v>
      </c>
      <c r="B33" s="1568"/>
      <c r="C33" s="635">
        <f t="shared" ref="C33:K33" si="9">SUM(C29,C32)</f>
        <v>113667824</v>
      </c>
      <c r="D33" s="635">
        <f t="shared" si="9"/>
        <v>11579903</v>
      </c>
      <c r="E33" s="635">
        <f t="shared" si="9"/>
        <v>4500114</v>
      </c>
      <c r="F33" s="635">
        <f t="shared" si="9"/>
        <v>4226087</v>
      </c>
      <c r="G33" s="635">
        <f t="shared" si="9"/>
        <v>4761568</v>
      </c>
      <c r="H33" s="635">
        <f t="shared" si="9"/>
        <v>6526831</v>
      </c>
      <c r="I33" s="635">
        <f t="shared" si="9"/>
        <v>4297812</v>
      </c>
      <c r="J33" s="635">
        <f t="shared" si="9"/>
        <v>557399</v>
      </c>
      <c r="K33" s="635">
        <f t="shared" si="9"/>
        <v>0</v>
      </c>
    </row>
    <row r="34" spans="1:11" ht="13.5" thickTop="1" x14ac:dyDescent="0.2">
      <c r="A34" s="1714" t="s">
        <v>689</v>
      </c>
      <c r="B34" s="1715"/>
      <c r="C34" s="627">
        <f>C13+C26</f>
        <v>79244000</v>
      </c>
      <c r="D34" s="627">
        <f t="shared" ref="D34:K34" si="10">D13</f>
        <v>8220000</v>
      </c>
      <c r="E34" s="627">
        <f t="shared" si="10"/>
        <v>3619000</v>
      </c>
      <c r="F34" s="627">
        <f t="shared" si="10"/>
        <v>1250000</v>
      </c>
      <c r="G34" s="627">
        <f t="shared" si="10"/>
        <v>3400000</v>
      </c>
      <c r="H34" s="627">
        <f t="shared" si="10"/>
        <v>3880000</v>
      </c>
      <c r="I34" s="627">
        <f t="shared" si="10"/>
        <v>0</v>
      </c>
      <c r="J34" s="627">
        <f t="shared" si="10"/>
        <v>360000</v>
      </c>
      <c r="K34" s="627">
        <f t="shared" si="10"/>
        <v>0</v>
      </c>
    </row>
    <row r="35" spans="1:11" ht="13.5" thickBot="1" x14ac:dyDescent="0.25">
      <c r="A35" s="1716" t="s">
        <v>81</v>
      </c>
      <c r="B35" s="1717"/>
      <c r="C35" s="210">
        <f t="shared" ref="C35:K35" si="11">C19</f>
        <v>0</v>
      </c>
      <c r="D35" s="210">
        <f t="shared" si="11"/>
        <v>0</v>
      </c>
      <c r="E35" s="210">
        <f t="shared" si="11"/>
        <v>0</v>
      </c>
      <c r="F35" s="210">
        <f t="shared" si="11"/>
        <v>0</v>
      </c>
      <c r="G35" s="210">
        <f t="shared" si="11"/>
        <v>0</v>
      </c>
      <c r="H35" s="210">
        <f t="shared" si="11"/>
        <v>0</v>
      </c>
      <c r="I35" s="210">
        <f t="shared" si="11"/>
        <v>0</v>
      </c>
      <c r="J35" s="210">
        <f t="shared" si="11"/>
        <v>0</v>
      </c>
      <c r="K35" s="210">
        <f t="shared" si="11"/>
        <v>0</v>
      </c>
    </row>
    <row r="36" spans="1:11" ht="14.25" thickTop="1" thickBot="1" x14ac:dyDescent="0.25">
      <c r="A36" s="1569" t="s">
        <v>48</v>
      </c>
      <c r="B36" s="1570"/>
      <c r="C36" s="636">
        <f t="shared" ref="C36:K36" si="12">SUM(C34,C35)</f>
        <v>79244000</v>
      </c>
      <c r="D36" s="636">
        <f t="shared" si="12"/>
        <v>8220000</v>
      </c>
      <c r="E36" s="636">
        <f t="shared" si="12"/>
        <v>3619000</v>
      </c>
      <c r="F36" s="636">
        <f t="shared" si="12"/>
        <v>1250000</v>
      </c>
      <c r="G36" s="636">
        <f t="shared" si="12"/>
        <v>3400000</v>
      </c>
      <c r="H36" s="636">
        <f t="shared" si="12"/>
        <v>3880000</v>
      </c>
      <c r="I36" s="636">
        <f t="shared" si="12"/>
        <v>0</v>
      </c>
      <c r="J36" s="636">
        <f t="shared" si="12"/>
        <v>360000</v>
      </c>
      <c r="K36" s="636">
        <f t="shared" si="12"/>
        <v>0</v>
      </c>
    </row>
    <row r="37" spans="1:11" ht="27.75" customHeight="1" thickTop="1" thickBot="1" x14ac:dyDescent="0.25">
      <c r="A37" s="1718" t="s">
        <v>3114</v>
      </c>
      <c r="B37" s="1719"/>
      <c r="C37" s="212">
        <f t="shared" ref="C37:K37" si="13">SUM(C33-C36)</f>
        <v>34423824</v>
      </c>
      <c r="D37" s="212">
        <f t="shared" si="13"/>
        <v>3359903</v>
      </c>
      <c r="E37" s="212">
        <f t="shared" si="13"/>
        <v>881114</v>
      </c>
      <c r="F37" s="212">
        <f t="shared" si="13"/>
        <v>2976087</v>
      </c>
      <c r="G37" s="212">
        <f t="shared" si="13"/>
        <v>1361568</v>
      </c>
      <c r="H37" s="212">
        <f t="shared" si="13"/>
        <v>2646831</v>
      </c>
      <c r="I37" s="212">
        <f t="shared" si="13"/>
        <v>4297812</v>
      </c>
      <c r="J37" s="212">
        <f t="shared" si="13"/>
        <v>197399</v>
      </c>
      <c r="K37" s="212">
        <f t="shared" si="13"/>
        <v>0</v>
      </c>
    </row>
    <row r="38" spans="1:11" ht="13.5" thickTop="1" x14ac:dyDescent="0.2"/>
  </sheetData>
  <sheetProtection algorithmName="SHA-512" hashValue="4OYPPXo/vgBfqhrMMhNhMb2vYzJCWXMi8WqmmcpjPTw7XyOtc2RYKzzrfVk8ODqXK3FoB4UZDzufdDe6sGP5EQ==" saltValue="3HPHd3wQXhA7ZA/YdYVgBw=="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autoPageBreaks="0" fitToPage="1"/>
  </sheetPr>
  <dimension ref="A1:L272"/>
  <sheetViews>
    <sheetView showGridLines="0" zoomScaleNormal="100" workbookViewId="0">
      <pane xSplit="3" ySplit="2" topLeftCell="D250" activePane="bottomRight" state="frozenSplit"/>
      <selection pane="topRight"/>
      <selection pane="bottomLeft"/>
      <selection pane="bottomRight" activeCell="E286" sqref="E286"/>
    </sheetView>
  </sheetViews>
  <sheetFormatPr defaultColWidth="8.7109375" defaultRowHeight="12.75" x14ac:dyDescent="0.2"/>
  <cols>
    <col min="1" max="1" width="10" style="1373" hidden="1" customWidth="1"/>
    <col min="2" max="2" width="51.28515625" style="1373" customWidth="1"/>
    <col min="3" max="3" width="5.42578125" style="1373" customWidth="1"/>
    <col min="4" max="4" width="13.85546875" style="1373" customWidth="1"/>
    <col min="5" max="5" width="13.7109375" style="1373" customWidth="1"/>
    <col min="6" max="6" width="13.85546875" style="1373" customWidth="1"/>
    <col min="7" max="12" width="13.7109375" style="1373" customWidth="1"/>
    <col min="13" max="16384" width="8.7109375" style="1373"/>
  </cols>
  <sheetData>
    <row r="1" spans="1:12" s="1019" customFormat="1" ht="12" x14ac:dyDescent="0.2">
      <c r="A1" s="1014"/>
      <c r="B1" s="1015"/>
      <c r="C1" s="1016"/>
      <c r="D1" s="1017" t="s">
        <v>232</v>
      </c>
      <c r="E1" s="1017" t="s">
        <v>233</v>
      </c>
      <c r="F1" s="1017" t="s">
        <v>428</v>
      </c>
      <c r="G1" s="1017" t="s">
        <v>429</v>
      </c>
      <c r="H1" s="1018" t="s">
        <v>430</v>
      </c>
      <c r="I1" s="1018" t="s">
        <v>431</v>
      </c>
      <c r="J1" s="1018" t="s">
        <v>432</v>
      </c>
      <c r="K1" s="1018" t="s">
        <v>433</v>
      </c>
      <c r="L1" s="1018" t="s">
        <v>434</v>
      </c>
    </row>
    <row r="2" spans="1:12" s="839" customFormat="1" ht="36" x14ac:dyDescent="0.2">
      <c r="A2" s="1020" t="s">
        <v>821</v>
      </c>
      <c r="B2" s="820" t="s">
        <v>744</v>
      </c>
      <c r="C2" s="1021" t="s">
        <v>497</v>
      </c>
      <c r="D2" s="1022" t="s">
        <v>436</v>
      </c>
      <c r="E2" s="1022" t="s">
        <v>234</v>
      </c>
      <c r="F2" s="1022" t="s">
        <v>372</v>
      </c>
      <c r="G2" s="1022" t="s">
        <v>435</v>
      </c>
      <c r="H2" s="1023" t="s">
        <v>496</v>
      </c>
      <c r="I2" s="1023" t="s">
        <v>373</v>
      </c>
      <c r="J2" s="1023" t="s">
        <v>437</v>
      </c>
      <c r="K2" s="1023" t="s">
        <v>374</v>
      </c>
      <c r="L2" s="1023" t="s">
        <v>438</v>
      </c>
    </row>
    <row r="3" spans="1:12" s="989" customFormat="1" ht="16.7" customHeight="1" x14ac:dyDescent="0.2">
      <c r="A3" s="1024"/>
      <c r="B3" s="1025" t="s">
        <v>623</v>
      </c>
      <c r="C3" s="1026"/>
      <c r="D3" s="19"/>
      <c r="E3" s="19"/>
      <c r="F3" s="19"/>
      <c r="G3" s="19"/>
      <c r="H3" s="20"/>
      <c r="I3" s="20"/>
      <c r="J3" s="20"/>
      <c r="K3" s="20"/>
      <c r="L3" s="21"/>
    </row>
    <row r="4" spans="1:12" s="989" customFormat="1" ht="21.95" customHeight="1" x14ac:dyDescent="0.2">
      <c r="A4" s="1024"/>
      <c r="B4" s="1027" t="s">
        <v>403</v>
      </c>
      <c r="C4" s="1028">
        <v>1100</v>
      </c>
      <c r="D4" s="22"/>
      <c r="E4" s="23"/>
      <c r="F4" s="23"/>
      <c r="G4" s="23"/>
      <c r="H4" s="24"/>
      <c r="I4" s="24"/>
      <c r="J4" s="24"/>
      <c r="K4" s="24"/>
      <c r="L4" s="25"/>
    </row>
    <row r="5" spans="1:12" s="989" customFormat="1" ht="14.25" x14ac:dyDescent="0.2">
      <c r="A5" s="1013"/>
      <c r="B5" s="1002" t="s">
        <v>726</v>
      </c>
      <c r="C5" s="992" t="s">
        <v>425</v>
      </c>
      <c r="D5" s="26">
        <f>34544000+30414000-412000</f>
        <v>64546000</v>
      </c>
      <c r="E5" s="26">
        <f>4250000+3600000-100000</f>
        <v>7750000</v>
      </c>
      <c r="F5" s="26">
        <f>1590000+1451000-23000</f>
        <v>3018000</v>
      </c>
      <c r="G5" s="26">
        <f>440000+420000-19000</f>
        <v>841000</v>
      </c>
      <c r="H5" s="26">
        <f>860000+825000-10000</f>
        <v>1675000</v>
      </c>
      <c r="I5" s="26"/>
      <c r="J5" s="26"/>
      <c r="K5" s="26">
        <f>195000+175000-10000</f>
        <v>360000</v>
      </c>
      <c r="L5" s="26"/>
    </row>
    <row r="6" spans="1:12" s="989" customFormat="1" ht="14.25" x14ac:dyDescent="0.2">
      <c r="A6" s="1008"/>
      <c r="B6" s="1009" t="s">
        <v>668</v>
      </c>
      <c r="C6" s="1010">
        <v>1130</v>
      </c>
      <c r="D6" s="27"/>
      <c r="E6" s="26"/>
      <c r="F6" s="28"/>
      <c r="G6" s="28"/>
      <c r="H6" s="29"/>
      <c r="I6" s="29"/>
      <c r="J6" s="29"/>
      <c r="K6" s="29"/>
      <c r="L6" s="29"/>
    </row>
    <row r="7" spans="1:12" s="999" customFormat="1" ht="12" x14ac:dyDescent="0.2">
      <c r="A7" s="841"/>
      <c r="B7" s="1011" t="s">
        <v>23</v>
      </c>
      <c r="C7" s="1012">
        <v>1140</v>
      </c>
      <c r="D7" s="26">
        <f>170000+160000-10000</f>
        <v>320000</v>
      </c>
      <c r="E7" s="26"/>
      <c r="F7" s="28"/>
      <c r="G7" s="26"/>
      <c r="H7" s="26">
        <f>860000+800000-10000</f>
        <v>1650000</v>
      </c>
      <c r="I7" s="26"/>
      <c r="J7" s="29"/>
      <c r="K7" s="29"/>
      <c r="L7" s="29"/>
    </row>
    <row r="8" spans="1:12" s="999" customFormat="1" ht="12" x14ac:dyDescent="0.2">
      <c r="A8" s="841"/>
      <c r="B8" s="991" t="s">
        <v>24</v>
      </c>
      <c r="C8" s="992">
        <v>1150</v>
      </c>
      <c r="D8" s="28"/>
      <c r="E8" s="28"/>
      <c r="F8" s="28"/>
      <c r="G8" s="28"/>
      <c r="H8" s="30"/>
      <c r="I8" s="29"/>
      <c r="J8" s="29"/>
      <c r="K8" s="29"/>
      <c r="L8" s="29"/>
    </row>
    <row r="9" spans="1:12" s="999" customFormat="1" ht="12" x14ac:dyDescent="0.2">
      <c r="A9" s="841"/>
      <c r="B9" s="991" t="s">
        <v>25</v>
      </c>
      <c r="C9" s="992">
        <v>1160</v>
      </c>
      <c r="D9" s="28"/>
      <c r="E9" s="26"/>
      <c r="F9" s="26"/>
      <c r="G9" s="28"/>
      <c r="H9" s="29"/>
      <c r="I9" s="31"/>
      <c r="J9" s="29"/>
      <c r="K9" s="29"/>
      <c r="L9" s="29"/>
    </row>
    <row r="10" spans="1:12" s="999" customFormat="1" ht="12" x14ac:dyDescent="0.2">
      <c r="A10" s="841"/>
      <c r="B10" s="991" t="s">
        <v>26</v>
      </c>
      <c r="C10" s="992">
        <v>1170</v>
      </c>
      <c r="D10" s="26"/>
      <c r="E10" s="28"/>
      <c r="F10" s="28"/>
      <c r="G10" s="28"/>
      <c r="H10" s="29"/>
      <c r="I10" s="29"/>
      <c r="J10" s="29"/>
      <c r="K10" s="29"/>
      <c r="L10" s="29"/>
    </row>
    <row r="11" spans="1:12" s="999" customFormat="1" ht="12" x14ac:dyDescent="0.2">
      <c r="A11" s="841">
        <v>1190</v>
      </c>
      <c r="B11" s="991" t="s">
        <v>852</v>
      </c>
      <c r="C11" s="992">
        <v>1190</v>
      </c>
      <c r="D11" s="26"/>
      <c r="E11" s="26"/>
      <c r="F11" s="26"/>
      <c r="G11" s="26"/>
      <c r="H11" s="26"/>
      <c r="I11" s="26"/>
      <c r="J11" s="26"/>
      <c r="K11" s="26"/>
      <c r="L11" s="26"/>
    </row>
    <row r="12" spans="1:12" s="999" customFormat="1" thickBot="1" x14ac:dyDescent="0.25">
      <c r="A12" s="841"/>
      <c r="B12" s="1004" t="s">
        <v>337</v>
      </c>
      <c r="C12" s="1005"/>
      <c r="D12" s="32">
        <f>SUM(D5:D11)</f>
        <v>64866000</v>
      </c>
      <c r="E12" s="32">
        <f t="shared" ref="E12:L12" si="0">SUM(E5:E11)</f>
        <v>7750000</v>
      </c>
      <c r="F12" s="32">
        <f t="shared" si="0"/>
        <v>3018000</v>
      </c>
      <c r="G12" s="32">
        <f t="shared" si="0"/>
        <v>841000</v>
      </c>
      <c r="H12" s="32">
        <f t="shared" si="0"/>
        <v>3325000</v>
      </c>
      <c r="I12" s="32">
        <f t="shared" si="0"/>
        <v>0</v>
      </c>
      <c r="J12" s="32">
        <f t="shared" si="0"/>
        <v>0</v>
      </c>
      <c r="K12" s="32">
        <f t="shared" si="0"/>
        <v>360000</v>
      </c>
      <c r="L12" s="32">
        <f t="shared" si="0"/>
        <v>0</v>
      </c>
    </row>
    <row r="13" spans="1:12" s="989" customFormat="1" ht="15.75" customHeight="1" thickTop="1" x14ac:dyDescent="0.2">
      <c r="A13" s="841"/>
      <c r="B13" s="1006" t="s">
        <v>300</v>
      </c>
      <c r="C13" s="1007">
        <v>1200</v>
      </c>
      <c r="D13" s="33"/>
      <c r="E13" s="33"/>
      <c r="F13" s="33"/>
      <c r="G13" s="33"/>
      <c r="H13" s="34"/>
      <c r="I13" s="34"/>
      <c r="J13" s="34"/>
      <c r="K13" s="34"/>
      <c r="L13" s="34"/>
    </row>
    <row r="14" spans="1:12" s="989" customFormat="1" ht="12" x14ac:dyDescent="0.2">
      <c r="A14" s="841"/>
      <c r="B14" s="991" t="s">
        <v>301</v>
      </c>
      <c r="C14" s="992">
        <v>1210</v>
      </c>
      <c r="D14" s="26"/>
      <c r="E14" s="26"/>
      <c r="F14" s="26"/>
      <c r="G14" s="26"/>
      <c r="H14" s="26"/>
      <c r="I14" s="26"/>
      <c r="J14" s="26"/>
      <c r="K14" s="26"/>
      <c r="L14" s="26"/>
    </row>
    <row r="15" spans="1:12" s="989" customFormat="1" ht="12" x14ac:dyDescent="0.2">
      <c r="A15" s="841"/>
      <c r="B15" s="1002" t="s">
        <v>302</v>
      </c>
      <c r="C15" s="1003">
        <v>1220</v>
      </c>
      <c r="D15" s="26"/>
      <c r="E15" s="26"/>
      <c r="F15" s="26"/>
      <c r="G15" s="26"/>
      <c r="H15" s="26"/>
      <c r="I15" s="26"/>
      <c r="J15" s="26"/>
      <c r="K15" s="26"/>
      <c r="L15" s="26"/>
    </row>
    <row r="16" spans="1:12" s="989" customFormat="1" ht="14.25" x14ac:dyDescent="0.2">
      <c r="A16" s="841"/>
      <c r="B16" s="1002" t="s">
        <v>670</v>
      </c>
      <c r="C16" s="1003">
        <v>1230</v>
      </c>
      <c r="D16" s="26">
        <v>3967000</v>
      </c>
      <c r="E16" s="26">
        <v>200000</v>
      </c>
      <c r="F16" s="26"/>
      <c r="G16" s="26"/>
      <c r="H16" s="26">
        <v>75000</v>
      </c>
      <c r="I16" s="26"/>
      <c r="J16" s="26"/>
      <c r="K16" s="26"/>
      <c r="L16" s="26"/>
    </row>
    <row r="17" spans="1:12" s="989" customFormat="1" ht="12" x14ac:dyDescent="0.2">
      <c r="A17" s="841">
        <v>1290</v>
      </c>
      <c r="B17" s="991" t="s">
        <v>851</v>
      </c>
      <c r="C17" s="992">
        <v>1290</v>
      </c>
      <c r="D17" s="26"/>
      <c r="E17" s="26"/>
      <c r="F17" s="26"/>
      <c r="G17" s="26"/>
      <c r="H17" s="26"/>
      <c r="I17" s="26"/>
      <c r="J17" s="26"/>
      <c r="K17" s="26"/>
      <c r="L17" s="26"/>
    </row>
    <row r="18" spans="1:12" s="999" customFormat="1" thickBot="1" x14ac:dyDescent="0.25">
      <c r="A18" s="841"/>
      <c r="B18" s="997" t="s">
        <v>84</v>
      </c>
      <c r="C18" s="998"/>
      <c r="D18" s="35">
        <f>SUM(D14:D17)</f>
        <v>3967000</v>
      </c>
      <c r="E18" s="35">
        <f t="shared" ref="E18:L18" si="1">SUM(E14:E17)</f>
        <v>200000</v>
      </c>
      <c r="F18" s="35">
        <f t="shared" si="1"/>
        <v>0</v>
      </c>
      <c r="G18" s="35">
        <f t="shared" si="1"/>
        <v>0</v>
      </c>
      <c r="H18" s="35">
        <f t="shared" si="1"/>
        <v>75000</v>
      </c>
      <c r="I18" s="35">
        <f t="shared" si="1"/>
        <v>0</v>
      </c>
      <c r="J18" s="35">
        <f t="shared" si="1"/>
        <v>0</v>
      </c>
      <c r="K18" s="35">
        <f t="shared" si="1"/>
        <v>0</v>
      </c>
      <c r="L18" s="35">
        <f t="shared" si="1"/>
        <v>0</v>
      </c>
    </row>
    <row r="19" spans="1:12" s="989" customFormat="1" ht="15.75" customHeight="1" thickTop="1" x14ac:dyDescent="0.2">
      <c r="A19" s="841"/>
      <c r="B19" s="1000" t="s">
        <v>34</v>
      </c>
      <c r="C19" s="1001">
        <v>1300</v>
      </c>
      <c r="D19" s="33"/>
      <c r="E19" s="36"/>
      <c r="F19" s="36"/>
      <c r="G19" s="36"/>
      <c r="H19" s="37"/>
      <c r="I19" s="37"/>
      <c r="J19" s="37"/>
      <c r="K19" s="37"/>
      <c r="L19" s="37"/>
    </row>
    <row r="20" spans="1:12" s="989" customFormat="1" ht="12" x14ac:dyDescent="0.2">
      <c r="A20" s="841"/>
      <c r="B20" s="991" t="s">
        <v>392</v>
      </c>
      <c r="C20" s="992">
        <v>1311</v>
      </c>
      <c r="D20" s="26"/>
      <c r="E20" s="28"/>
      <c r="F20" s="28"/>
      <c r="G20" s="28"/>
      <c r="H20" s="29"/>
      <c r="I20" s="29"/>
      <c r="J20" s="29"/>
      <c r="K20" s="29"/>
      <c r="L20" s="29"/>
    </row>
    <row r="21" spans="1:12" s="989" customFormat="1" ht="12" x14ac:dyDescent="0.2">
      <c r="A21" s="841"/>
      <c r="B21" s="991" t="s">
        <v>27</v>
      </c>
      <c r="C21" s="992">
        <v>1312</v>
      </c>
      <c r="D21" s="26"/>
      <c r="E21" s="28"/>
      <c r="F21" s="28"/>
      <c r="G21" s="28"/>
      <c r="H21" s="29"/>
      <c r="I21" s="29"/>
      <c r="J21" s="29"/>
      <c r="K21" s="29"/>
      <c r="L21" s="29"/>
    </row>
    <row r="22" spans="1:12" s="989" customFormat="1" ht="12" x14ac:dyDescent="0.2">
      <c r="A22" s="841"/>
      <c r="B22" s="993" t="s">
        <v>393</v>
      </c>
      <c r="C22" s="994">
        <v>1313</v>
      </c>
      <c r="D22" s="26">
        <v>100000</v>
      </c>
      <c r="E22" s="28"/>
      <c r="F22" s="28"/>
      <c r="G22" s="28"/>
      <c r="H22" s="29"/>
      <c r="I22" s="29"/>
      <c r="J22" s="29"/>
      <c r="K22" s="29"/>
      <c r="L22" s="29"/>
    </row>
    <row r="23" spans="1:12" s="989" customFormat="1" ht="12" x14ac:dyDescent="0.2">
      <c r="A23" s="841"/>
      <c r="B23" s="993" t="s">
        <v>309</v>
      </c>
      <c r="C23" s="994">
        <v>1314</v>
      </c>
      <c r="D23" s="26"/>
      <c r="E23" s="28"/>
      <c r="F23" s="28"/>
      <c r="G23" s="28"/>
      <c r="H23" s="29"/>
      <c r="I23" s="29"/>
      <c r="J23" s="29"/>
      <c r="K23" s="29"/>
      <c r="L23" s="29"/>
    </row>
    <row r="24" spans="1:12" s="990" customFormat="1" x14ac:dyDescent="0.2">
      <c r="A24" s="841"/>
      <c r="B24" s="995" t="s">
        <v>520</v>
      </c>
      <c r="C24" s="996">
        <v>1321</v>
      </c>
      <c r="D24" s="26">
        <v>120000</v>
      </c>
      <c r="E24" s="38"/>
      <c r="F24" s="38"/>
      <c r="G24" s="38"/>
      <c r="H24" s="39"/>
      <c r="I24" s="39"/>
      <c r="J24" s="39"/>
      <c r="K24" s="39"/>
      <c r="L24" s="39"/>
    </row>
    <row r="25" spans="1:12" s="840" customFormat="1" ht="12" x14ac:dyDescent="0.2">
      <c r="A25" s="841"/>
      <c r="B25" s="995" t="s">
        <v>521</v>
      </c>
      <c r="C25" s="978">
        <v>1322</v>
      </c>
      <c r="D25" s="26"/>
      <c r="E25" s="38"/>
      <c r="F25" s="38"/>
      <c r="G25" s="39"/>
      <c r="H25" s="39"/>
      <c r="I25" s="39"/>
      <c r="J25" s="39"/>
      <c r="K25" s="39"/>
      <c r="L25" s="39"/>
    </row>
    <row r="26" spans="1:12" s="835" customFormat="1" ht="12" x14ac:dyDescent="0.2">
      <c r="A26" s="841"/>
      <c r="B26" s="995" t="s">
        <v>522</v>
      </c>
      <c r="C26" s="978">
        <v>1323</v>
      </c>
      <c r="D26" s="26"/>
      <c r="E26" s="38"/>
      <c r="F26" s="38"/>
      <c r="G26" s="38"/>
      <c r="H26" s="39"/>
      <c r="I26" s="39"/>
      <c r="J26" s="39"/>
      <c r="K26" s="39"/>
      <c r="L26" s="39"/>
    </row>
    <row r="27" spans="1:12" s="835" customFormat="1" ht="12" x14ac:dyDescent="0.2">
      <c r="A27" s="841"/>
      <c r="B27" s="995" t="s">
        <v>523</v>
      </c>
      <c r="C27" s="978">
        <v>1324</v>
      </c>
      <c r="D27" s="26"/>
      <c r="E27" s="38"/>
      <c r="F27" s="38"/>
      <c r="G27" s="38"/>
      <c r="H27" s="39"/>
      <c r="I27" s="39"/>
      <c r="J27" s="39"/>
      <c r="K27" s="39"/>
      <c r="L27" s="39"/>
    </row>
    <row r="28" spans="1:12" s="835" customFormat="1" ht="12" x14ac:dyDescent="0.2">
      <c r="A28" s="841"/>
      <c r="B28" s="995" t="s">
        <v>524</v>
      </c>
      <c r="C28" s="978">
        <v>1331</v>
      </c>
      <c r="D28" s="26"/>
      <c r="E28" s="38"/>
      <c r="F28" s="38"/>
      <c r="G28" s="38"/>
      <c r="H28" s="39"/>
      <c r="I28" s="39"/>
      <c r="J28" s="39"/>
      <c r="K28" s="39"/>
      <c r="L28" s="39"/>
    </row>
    <row r="29" spans="1:12" s="835" customFormat="1" ht="12" x14ac:dyDescent="0.2">
      <c r="A29" s="841"/>
      <c r="B29" s="995" t="s">
        <v>525</v>
      </c>
      <c r="C29" s="978">
        <v>1332</v>
      </c>
      <c r="D29" s="26"/>
      <c r="E29" s="38"/>
      <c r="F29" s="38"/>
      <c r="G29" s="38"/>
      <c r="H29" s="39"/>
      <c r="I29" s="39"/>
      <c r="J29" s="39"/>
      <c r="K29" s="39"/>
      <c r="L29" s="39"/>
    </row>
    <row r="30" spans="1:12" s="835" customFormat="1" ht="12" x14ac:dyDescent="0.2">
      <c r="A30" s="841"/>
      <c r="B30" s="995" t="s">
        <v>526</v>
      </c>
      <c r="C30" s="978">
        <v>1333</v>
      </c>
      <c r="D30" s="26"/>
      <c r="E30" s="38"/>
      <c r="F30" s="38"/>
      <c r="G30" s="38"/>
      <c r="H30" s="39"/>
      <c r="I30" s="39"/>
      <c r="J30" s="39"/>
      <c r="K30" s="39"/>
      <c r="L30" s="39"/>
    </row>
    <row r="31" spans="1:12" s="835" customFormat="1" ht="12" x14ac:dyDescent="0.2">
      <c r="A31" s="841"/>
      <c r="B31" s="995" t="s">
        <v>527</v>
      </c>
      <c r="C31" s="978">
        <v>1334</v>
      </c>
      <c r="D31" s="26"/>
      <c r="E31" s="38"/>
      <c r="F31" s="38"/>
      <c r="G31" s="38"/>
      <c r="H31" s="39"/>
      <c r="I31" s="39"/>
      <c r="J31" s="39"/>
      <c r="K31" s="39"/>
      <c r="L31" s="39"/>
    </row>
    <row r="32" spans="1:12" s="835" customFormat="1" ht="12" x14ac:dyDescent="0.2">
      <c r="A32" s="841"/>
      <c r="B32" s="995" t="s">
        <v>528</v>
      </c>
      <c r="C32" s="978">
        <v>1341</v>
      </c>
      <c r="D32" s="26"/>
      <c r="E32" s="38"/>
      <c r="F32" s="38"/>
      <c r="G32" s="38"/>
      <c r="H32" s="39"/>
      <c r="I32" s="39"/>
      <c r="J32" s="39"/>
      <c r="K32" s="39"/>
      <c r="L32" s="39"/>
    </row>
    <row r="33" spans="1:12" s="835" customFormat="1" ht="12" x14ac:dyDescent="0.2">
      <c r="A33" s="841"/>
      <c r="B33" s="995" t="s">
        <v>529</v>
      </c>
      <c r="C33" s="978">
        <v>1342</v>
      </c>
      <c r="D33" s="26"/>
      <c r="E33" s="38"/>
      <c r="F33" s="38"/>
      <c r="G33" s="38"/>
      <c r="H33" s="39"/>
      <c r="I33" s="39"/>
      <c r="J33" s="39"/>
      <c r="K33" s="39"/>
      <c r="L33" s="39"/>
    </row>
    <row r="34" spans="1:12" s="835" customFormat="1" ht="12" x14ac:dyDescent="0.2">
      <c r="A34" s="841"/>
      <c r="B34" s="995" t="s">
        <v>530</v>
      </c>
      <c r="C34" s="978">
        <v>1343</v>
      </c>
      <c r="D34" s="26"/>
      <c r="E34" s="38"/>
      <c r="F34" s="38"/>
      <c r="G34" s="38"/>
      <c r="H34" s="39"/>
      <c r="I34" s="39"/>
      <c r="J34" s="39"/>
      <c r="K34" s="39"/>
      <c r="L34" s="39"/>
    </row>
    <row r="35" spans="1:12" s="835" customFormat="1" ht="12" x14ac:dyDescent="0.2">
      <c r="A35" s="841"/>
      <c r="B35" s="995" t="s">
        <v>531</v>
      </c>
      <c r="C35" s="978">
        <v>1344</v>
      </c>
      <c r="D35" s="26"/>
      <c r="E35" s="38"/>
      <c r="F35" s="38"/>
      <c r="G35" s="38"/>
      <c r="H35" s="39"/>
      <c r="I35" s="39"/>
      <c r="J35" s="39"/>
      <c r="K35" s="39"/>
      <c r="L35" s="39"/>
    </row>
    <row r="36" spans="1:12" s="835" customFormat="1" ht="12" x14ac:dyDescent="0.2">
      <c r="A36" s="841"/>
      <c r="B36" s="995" t="s">
        <v>532</v>
      </c>
      <c r="C36" s="996">
        <v>1351</v>
      </c>
      <c r="D36" s="26">
        <v>120000</v>
      </c>
      <c r="E36" s="38"/>
      <c r="F36" s="38"/>
      <c r="G36" s="38"/>
      <c r="H36" s="39"/>
      <c r="I36" s="39"/>
      <c r="J36" s="39"/>
      <c r="K36" s="39"/>
      <c r="L36" s="39"/>
    </row>
    <row r="37" spans="1:12" s="835" customFormat="1" ht="12" x14ac:dyDescent="0.2">
      <c r="A37" s="841"/>
      <c r="B37" s="995" t="s">
        <v>533</v>
      </c>
      <c r="C37" s="978">
        <v>1352</v>
      </c>
      <c r="D37" s="26"/>
      <c r="E37" s="38"/>
      <c r="F37" s="38"/>
      <c r="G37" s="38"/>
      <c r="H37" s="39"/>
      <c r="I37" s="39"/>
      <c r="J37" s="39"/>
      <c r="K37" s="39"/>
      <c r="L37" s="39"/>
    </row>
    <row r="38" spans="1:12" s="835" customFormat="1" ht="12" x14ac:dyDescent="0.2">
      <c r="A38" s="841"/>
      <c r="B38" s="995" t="s">
        <v>534</v>
      </c>
      <c r="C38" s="978">
        <v>1353</v>
      </c>
      <c r="D38" s="26"/>
      <c r="E38" s="38"/>
      <c r="F38" s="38"/>
      <c r="G38" s="38"/>
      <c r="H38" s="39"/>
      <c r="I38" s="39"/>
      <c r="J38" s="39"/>
      <c r="K38" s="39"/>
      <c r="L38" s="39"/>
    </row>
    <row r="39" spans="1:12" s="835" customFormat="1" ht="12" x14ac:dyDescent="0.2">
      <c r="A39" s="841"/>
      <c r="B39" s="995" t="s">
        <v>535</v>
      </c>
      <c r="C39" s="978">
        <v>1354</v>
      </c>
      <c r="D39" s="26"/>
      <c r="E39" s="38"/>
      <c r="F39" s="38"/>
      <c r="G39" s="38"/>
      <c r="H39" s="39"/>
      <c r="I39" s="39"/>
      <c r="J39" s="39"/>
      <c r="K39" s="39"/>
      <c r="L39" s="39"/>
    </row>
    <row r="40" spans="1:12" s="835" customFormat="1" thickBot="1" x14ac:dyDescent="0.25">
      <c r="A40" s="841"/>
      <c r="B40" s="985" t="s">
        <v>85</v>
      </c>
      <c r="C40" s="986"/>
      <c r="D40" s="40">
        <f>SUM(D20:D39)</f>
        <v>340000</v>
      </c>
      <c r="E40" s="38"/>
      <c r="F40" s="38"/>
      <c r="G40" s="38"/>
      <c r="H40" s="39"/>
      <c r="I40" s="39"/>
      <c r="J40" s="39"/>
      <c r="K40" s="39"/>
      <c r="L40" s="39"/>
    </row>
    <row r="41" spans="1:12" s="835" customFormat="1" ht="15.75" customHeight="1" thickTop="1" x14ac:dyDescent="0.2">
      <c r="A41" s="841"/>
      <c r="B41" s="987" t="s">
        <v>135</v>
      </c>
      <c r="C41" s="988">
        <v>1400</v>
      </c>
      <c r="D41" s="38"/>
      <c r="E41" s="38"/>
      <c r="F41" s="38"/>
      <c r="G41" s="38"/>
      <c r="H41" s="39"/>
      <c r="I41" s="39"/>
      <c r="J41" s="39"/>
      <c r="K41" s="39"/>
      <c r="L41" s="39"/>
    </row>
    <row r="42" spans="1:12" s="835" customFormat="1" ht="12" x14ac:dyDescent="0.2">
      <c r="A42" s="841"/>
      <c r="B42" s="977" t="s">
        <v>536</v>
      </c>
      <c r="C42" s="978">
        <v>1411</v>
      </c>
      <c r="D42" s="38"/>
      <c r="E42" s="38"/>
      <c r="F42" s="38"/>
      <c r="G42" s="26"/>
      <c r="H42" s="39"/>
      <c r="I42" s="39"/>
      <c r="J42" s="39"/>
      <c r="K42" s="39"/>
      <c r="L42" s="39"/>
    </row>
    <row r="43" spans="1:12" s="835" customFormat="1" ht="12" x14ac:dyDescent="0.2">
      <c r="A43" s="841"/>
      <c r="B43" s="977" t="s">
        <v>537</v>
      </c>
      <c r="C43" s="978">
        <v>1412</v>
      </c>
      <c r="D43" s="38"/>
      <c r="E43" s="38"/>
      <c r="F43" s="38"/>
      <c r="G43" s="26"/>
      <c r="H43" s="39"/>
      <c r="I43" s="39"/>
      <c r="J43" s="39"/>
      <c r="K43" s="39"/>
      <c r="L43" s="39"/>
    </row>
    <row r="44" spans="1:12" s="835" customFormat="1" ht="12" x14ac:dyDescent="0.2">
      <c r="A44" s="841"/>
      <c r="B44" s="977" t="s">
        <v>538</v>
      </c>
      <c r="C44" s="978">
        <v>1413</v>
      </c>
      <c r="D44" s="38"/>
      <c r="E44" s="38"/>
      <c r="F44" s="38"/>
      <c r="G44" s="26"/>
      <c r="H44" s="39"/>
      <c r="I44" s="39"/>
      <c r="J44" s="39"/>
      <c r="K44" s="39"/>
      <c r="L44" s="39"/>
    </row>
    <row r="45" spans="1:12" s="835" customFormat="1" ht="12" x14ac:dyDescent="0.2">
      <c r="A45" s="841"/>
      <c r="B45" s="977" t="s">
        <v>539</v>
      </c>
      <c r="C45" s="978">
        <v>1415</v>
      </c>
      <c r="D45" s="38"/>
      <c r="E45" s="38"/>
      <c r="F45" s="38"/>
      <c r="G45" s="26"/>
      <c r="H45" s="39"/>
      <c r="I45" s="39"/>
      <c r="J45" s="39"/>
      <c r="K45" s="39"/>
      <c r="L45" s="39"/>
    </row>
    <row r="46" spans="1:12" s="835" customFormat="1" ht="12" x14ac:dyDescent="0.2">
      <c r="A46" s="841"/>
      <c r="B46" s="977" t="s">
        <v>540</v>
      </c>
      <c r="C46" s="978">
        <v>1416</v>
      </c>
      <c r="D46" s="38"/>
      <c r="E46" s="38"/>
      <c r="F46" s="38"/>
      <c r="G46" s="26"/>
      <c r="H46" s="39"/>
      <c r="I46" s="39"/>
      <c r="J46" s="39"/>
      <c r="K46" s="39"/>
      <c r="L46" s="39"/>
    </row>
    <row r="47" spans="1:12" s="835" customFormat="1" ht="12" x14ac:dyDescent="0.2">
      <c r="A47" s="841"/>
      <c r="B47" s="977" t="s">
        <v>7</v>
      </c>
      <c r="C47" s="978">
        <v>1421</v>
      </c>
      <c r="D47" s="38"/>
      <c r="E47" s="38"/>
      <c r="F47" s="38"/>
      <c r="G47" s="26"/>
      <c r="H47" s="39"/>
      <c r="I47" s="39"/>
      <c r="J47" s="39"/>
      <c r="K47" s="39"/>
      <c r="L47" s="39"/>
    </row>
    <row r="48" spans="1:12" s="835" customFormat="1" ht="12" x14ac:dyDescent="0.2">
      <c r="A48" s="841"/>
      <c r="B48" s="977" t="s">
        <v>338</v>
      </c>
      <c r="C48" s="978">
        <v>1422</v>
      </c>
      <c r="D48" s="38"/>
      <c r="E48" s="38"/>
      <c r="F48" s="38"/>
      <c r="G48" s="26"/>
      <c r="H48" s="39"/>
      <c r="I48" s="39"/>
      <c r="J48" s="39"/>
      <c r="K48" s="39"/>
      <c r="L48" s="39"/>
    </row>
    <row r="49" spans="1:12" s="835" customFormat="1" ht="12" x14ac:dyDescent="0.2">
      <c r="A49" s="841"/>
      <c r="B49" s="977" t="s">
        <v>0</v>
      </c>
      <c r="C49" s="978">
        <v>1423</v>
      </c>
      <c r="D49" s="38"/>
      <c r="E49" s="38"/>
      <c r="F49" s="38"/>
      <c r="G49" s="26"/>
      <c r="H49" s="39"/>
      <c r="I49" s="39"/>
      <c r="J49" s="39"/>
      <c r="K49" s="39"/>
      <c r="L49" s="39"/>
    </row>
    <row r="50" spans="1:12" s="835" customFormat="1" ht="12" x14ac:dyDescent="0.2">
      <c r="A50" s="841"/>
      <c r="B50" s="979" t="s">
        <v>669</v>
      </c>
      <c r="C50" s="980">
        <v>1424</v>
      </c>
      <c r="D50" s="38"/>
      <c r="E50" s="38"/>
      <c r="F50" s="38"/>
      <c r="G50" s="26"/>
      <c r="H50" s="39"/>
      <c r="I50" s="39"/>
      <c r="J50" s="39"/>
      <c r="K50" s="39"/>
      <c r="L50" s="39"/>
    </row>
    <row r="51" spans="1:12" s="835" customFormat="1" ht="12" x14ac:dyDescent="0.2">
      <c r="A51" s="841"/>
      <c r="B51" s="981" t="s">
        <v>4</v>
      </c>
      <c r="C51" s="971" t="s">
        <v>201</v>
      </c>
      <c r="D51" s="41"/>
      <c r="E51" s="42"/>
      <c r="F51" s="41"/>
      <c r="G51" s="26"/>
      <c r="H51" s="43"/>
      <c r="I51" s="43"/>
      <c r="J51" s="43"/>
      <c r="K51" s="43"/>
      <c r="L51" s="43"/>
    </row>
    <row r="52" spans="1:12" s="835" customFormat="1" ht="12" x14ac:dyDescent="0.2">
      <c r="A52" s="841"/>
      <c r="B52" s="981" t="s">
        <v>1</v>
      </c>
      <c r="C52" s="971" t="s">
        <v>202</v>
      </c>
      <c r="D52" s="41"/>
      <c r="E52" s="41"/>
      <c r="F52" s="41"/>
      <c r="G52" s="26"/>
      <c r="H52" s="43"/>
      <c r="I52" s="43"/>
      <c r="J52" s="43"/>
      <c r="K52" s="43"/>
      <c r="L52" s="43"/>
    </row>
    <row r="53" spans="1:12" s="835" customFormat="1" ht="12" x14ac:dyDescent="0.2">
      <c r="A53" s="841"/>
      <c r="B53" s="970" t="s">
        <v>2</v>
      </c>
      <c r="C53" s="982">
        <v>1433</v>
      </c>
      <c r="D53" s="41"/>
      <c r="E53" s="41"/>
      <c r="F53" s="41"/>
      <c r="G53" s="26"/>
      <c r="H53" s="43"/>
      <c r="I53" s="43"/>
      <c r="J53" s="43"/>
      <c r="K53" s="43"/>
      <c r="L53" s="43"/>
    </row>
    <row r="54" spans="1:12" s="835" customFormat="1" ht="12" x14ac:dyDescent="0.2">
      <c r="A54" s="841"/>
      <c r="B54" s="976" t="s">
        <v>3</v>
      </c>
      <c r="C54" s="982" t="s">
        <v>306</v>
      </c>
      <c r="D54" s="41"/>
      <c r="E54" s="41"/>
      <c r="F54" s="41"/>
      <c r="G54" s="26"/>
      <c r="H54" s="43"/>
      <c r="I54" s="43"/>
      <c r="J54" s="43"/>
      <c r="K54" s="43"/>
      <c r="L54" s="43"/>
    </row>
    <row r="55" spans="1:12" s="835" customFormat="1" ht="12" x14ac:dyDescent="0.2">
      <c r="A55" s="841"/>
      <c r="B55" s="976" t="s">
        <v>660</v>
      </c>
      <c r="C55" s="983">
        <v>1441</v>
      </c>
      <c r="D55" s="41"/>
      <c r="E55" s="41"/>
      <c r="F55" s="41"/>
      <c r="G55" s="26"/>
      <c r="H55" s="43"/>
      <c r="I55" s="43"/>
      <c r="J55" s="43"/>
      <c r="K55" s="43"/>
      <c r="L55" s="43"/>
    </row>
    <row r="56" spans="1:12" s="835" customFormat="1" ht="12" x14ac:dyDescent="0.2">
      <c r="A56" s="841"/>
      <c r="B56" s="976" t="s">
        <v>5</v>
      </c>
      <c r="C56" s="971">
        <v>1442</v>
      </c>
      <c r="D56" s="41"/>
      <c r="E56" s="41"/>
      <c r="F56" s="41"/>
      <c r="G56" s="26"/>
      <c r="H56" s="43"/>
      <c r="I56" s="43"/>
      <c r="J56" s="43"/>
      <c r="K56" s="43"/>
      <c r="L56" s="43"/>
    </row>
    <row r="57" spans="1:12" s="835" customFormat="1" ht="12" x14ac:dyDescent="0.2">
      <c r="A57" s="841"/>
      <c r="B57" s="976" t="s">
        <v>6</v>
      </c>
      <c r="C57" s="971">
        <v>1443</v>
      </c>
      <c r="D57" s="41"/>
      <c r="E57" s="41"/>
      <c r="F57" s="41"/>
      <c r="G57" s="26"/>
      <c r="H57" s="43"/>
      <c r="I57" s="43"/>
      <c r="J57" s="43"/>
      <c r="K57" s="43"/>
      <c r="L57" s="43"/>
    </row>
    <row r="58" spans="1:12" s="835" customFormat="1" ht="12" x14ac:dyDescent="0.2">
      <c r="A58" s="841"/>
      <c r="B58" s="976" t="s">
        <v>667</v>
      </c>
      <c r="C58" s="983" t="s">
        <v>307</v>
      </c>
      <c r="D58" s="41"/>
      <c r="E58" s="41"/>
      <c r="F58" s="41"/>
      <c r="G58" s="26"/>
      <c r="H58" s="43"/>
      <c r="I58" s="43"/>
      <c r="J58" s="43"/>
      <c r="K58" s="43"/>
      <c r="L58" s="43"/>
    </row>
    <row r="59" spans="1:12" s="835" customFormat="1" ht="12" x14ac:dyDescent="0.2">
      <c r="A59" s="841"/>
      <c r="B59" s="976" t="s">
        <v>10</v>
      </c>
      <c r="C59" s="971">
        <v>1451</v>
      </c>
      <c r="D59" s="41"/>
      <c r="E59" s="41"/>
      <c r="F59" s="41"/>
      <c r="G59" s="26"/>
      <c r="H59" s="43"/>
      <c r="I59" s="43"/>
      <c r="J59" s="43"/>
      <c r="K59" s="43"/>
      <c r="L59" s="43"/>
    </row>
    <row r="60" spans="1:12" s="835" customFormat="1" ht="12" x14ac:dyDescent="0.2">
      <c r="A60" s="841"/>
      <c r="B60" s="976" t="s">
        <v>8</v>
      </c>
      <c r="C60" s="971">
        <v>1452</v>
      </c>
      <c r="D60" s="41"/>
      <c r="E60" s="41"/>
      <c r="F60" s="41"/>
      <c r="G60" s="26"/>
      <c r="H60" s="43"/>
      <c r="I60" s="43"/>
      <c r="J60" s="43"/>
      <c r="K60" s="43"/>
      <c r="L60" s="43"/>
    </row>
    <row r="61" spans="1:12" s="835" customFormat="1" ht="12" x14ac:dyDescent="0.2">
      <c r="A61" s="841"/>
      <c r="B61" s="976" t="s">
        <v>9</v>
      </c>
      <c r="C61" s="971">
        <v>1453</v>
      </c>
      <c r="D61" s="41"/>
      <c r="E61" s="41"/>
      <c r="F61" s="41"/>
      <c r="G61" s="26"/>
      <c r="H61" s="43"/>
      <c r="I61" s="43"/>
      <c r="J61" s="43"/>
      <c r="K61" s="43"/>
      <c r="L61" s="43"/>
    </row>
    <row r="62" spans="1:12" s="835" customFormat="1" ht="12" x14ac:dyDescent="0.2">
      <c r="A62" s="841"/>
      <c r="B62" s="976" t="s">
        <v>11</v>
      </c>
      <c r="C62" s="984" t="s">
        <v>308</v>
      </c>
      <c r="D62" s="41"/>
      <c r="E62" s="41"/>
      <c r="F62" s="41"/>
      <c r="G62" s="26"/>
      <c r="H62" s="43"/>
      <c r="I62" s="43"/>
      <c r="J62" s="43"/>
      <c r="K62" s="43"/>
      <c r="L62" s="43"/>
    </row>
    <row r="63" spans="1:12" s="835" customFormat="1" thickBot="1" x14ac:dyDescent="0.25">
      <c r="A63" s="841"/>
      <c r="B63" s="972" t="s">
        <v>86</v>
      </c>
      <c r="C63" s="973"/>
      <c r="D63" s="41"/>
      <c r="E63" s="41"/>
      <c r="F63" s="41"/>
      <c r="G63" s="44">
        <f>SUM(G42:G62)</f>
        <v>0</v>
      </c>
      <c r="H63" s="43"/>
      <c r="I63" s="43"/>
      <c r="J63" s="43"/>
      <c r="K63" s="43"/>
      <c r="L63" s="43"/>
    </row>
    <row r="64" spans="1:12" s="835" customFormat="1" ht="15.75" customHeight="1" thickTop="1" x14ac:dyDescent="0.2">
      <c r="A64" s="841"/>
      <c r="B64" s="974" t="s">
        <v>105</v>
      </c>
      <c r="C64" s="975" t="s">
        <v>624</v>
      </c>
      <c r="D64" s="41"/>
      <c r="E64" s="41"/>
      <c r="F64" s="41"/>
      <c r="G64" s="41"/>
      <c r="H64" s="43"/>
      <c r="I64" s="43"/>
      <c r="J64" s="43"/>
      <c r="K64" s="43"/>
      <c r="L64" s="43"/>
    </row>
    <row r="65" spans="1:12" s="835" customFormat="1" ht="12" x14ac:dyDescent="0.2">
      <c r="A65" s="841"/>
      <c r="B65" s="976" t="s">
        <v>106</v>
      </c>
      <c r="C65" s="971">
        <v>1510</v>
      </c>
      <c r="D65" s="26">
        <v>50000</v>
      </c>
      <c r="E65" s="26"/>
      <c r="F65" s="26">
        <v>1000</v>
      </c>
      <c r="G65" s="26">
        <v>1000</v>
      </c>
      <c r="H65" s="26"/>
      <c r="I65" s="26"/>
      <c r="J65" s="26"/>
      <c r="K65" s="26"/>
      <c r="L65" s="26"/>
    </row>
    <row r="66" spans="1:12" s="835" customFormat="1" ht="12" x14ac:dyDescent="0.2">
      <c r="A66" s="841"/>
      <c r="B66" s="976" t="s">
        <v>107</v>
      </c>
      <c r="C66" s="971">
        <v>1520</v>
      </c>
      <c r="D66" s="26"/>
      <c r="E66" s="26"/>
      <c r="F66" s="26"/>
      <c r="G66" s="26"/>
      <c r="H66" s="26"/>
      <c r="I66" s="26"/>
      <c r="J66" s="26"/>
      <c r="K66" s="26"/>
      <c r="L66" s="26"/>
    </row>
    <row r="67" spans="1:12" s="835" customFormat="1" thickBot="1" x14ac:dyDescent="0.25">
      <c r="A67" s="841"/>
      <c r="B67" s="972" t="s">
        <v>87</v>
      </c>
      <c r="C67" s="973"/>
      <c r="D67" s="44">
        <f>SUM(D65:D66)</f>
        <v>50000</v>
      </c>
      <c r="E67" s="44">
        <f t="shared" ref="E67:L67" si="2">SUM(E65:E66)</f>
        <v>0</v>
      </c>
      <c r="F67" s="44">
        <f t="shared" si="2"/>
        <v>1000</v>
      </c>
      <c r="G67" s="44">
        <f t="shared" si="2"/>
        <v>1000</v>
      </c>
      <c r="H67" s="44">
        <f t="shared" si="2"/>
        <v>0</v>
      </c>
      <c r="I67" s="44">
        <f t="shared" si="2"/>
        <v>0</v>
      </c>
      <c r="J67" s="44">
        <f t="shared" si="2"/>
        <v>0</v>
      </c>
      <c r="K67" s="44">
        <f t="shared" si="2"/>
        <v>0</v>
      </c>
      <c r="L67" s="44">
        <f t="shared" si="2"/>
        <v>0</v>
      </c>
    </row>
    <row r="68" spans="1:12" s="835" customFormat="1" ht="15.75" customHeight="1" thickTop="1" x14ac:dyDescent="0.2">
      <c r="A68" s="841"/>
      <c r="B68" s="974" t="s">
        <v>509</v>
      </c>
      <c r="C68" s="975" t="s">
        <v>625</v>
      </c>
      <c r="D68" s="41"/>
      <c r="E68" s="41"/>
      <c r="F68" s="41"/>
      <c r="G68" s="41"/>
      <c r="H68" s="43"/>
      <c r="I68" s="43"/>
      <c r="J68" s="43"/>
      <c r="K68" s="43"/>
      <c r="L68" s="43"/>
    </row>
    <row r="69" spans="1:12" s="835" customFormat="1" ht="12" x14ac:dyDescent="0.2">
      <c r="A69" s="841"/>
      <c r="B69" s="970" t="s">
        <v>510</v>
      </c>
      <c r="C69" s="971">
        <v>1611</v>
      </c>
      <c r="D69" s="26">
        <v>100000</v>
      </c>
      <c r="E69" s="45"/>
      <c r="F69" s="41"/>
      <c r="G69" s="41"/>
      <c r="H69" s="43"/>
      <c r="I69" s="43"/>
      <c r="J69" s="43"/>
      <c r="K69" s="43"/>
      <c r="L69" s="43"/>
    </row>
    <row r="70" spans="1:12" s="835" customFormat="1" ht="12" x14ac:dyDescent="0.2">
      <c r="A70" s="841"/>
      <c r="B70" s="970" t="s">
        <v>511</v>
      </c>
      <c r="C70" s="971">
        <v>1612</v>
      </c>
      <c r="D70" s="26">
        <v>10000</v>
      </c>
      <c r="E70" s="45"/>
      <c r="F70" s="41"/>
      <c r="G70" s="41"/>
      <c r="H70" s="43"/>
      <c r="I70" s="43"/>
      <c r="J70" s="43"/>
      <c r="K70" s="43"/>
      <c r="L70" s="43"/>
    </row>
    <row r="71" spans="1:12" s="835" customFormat="1" ht="12" x14ac:dyDescent="0.2">
      <c r="A71" s="841"/>
      <c r="B71" s="970" t="s">
        <v>142</v>
      </c>
      <c r="C71" s="971">
        <v>1613</v>
      </c>
      <c r="D71" s="26">
        <v>340000</v>
      </c>
      <c r="E71" s="45"/>
      <c r="F71" s="41"/>
      <c r="G71" s="41"/>
      <c r="H71" s="43"/>
      <c r="I71" s="43"/>
      <c r="J71" s="43"/>
      <c r="K71" s="43"/>
      <c r="L71" s="43"/>
    </row>
    <row r="72" spans="1:12" s="835" customFormat="1" ht="12" x14ac:dyDescent="0.2">
      <c r="A72" s="841">
        <v>1614</v>
      </c>
      <c r="B72" s="970" t="s">
        <v>850</v>
      </c>
      <c r="C72" s="971">
        <v>1614</v>
      </c>
      <c r="D72" s="26">
        <v>33000</v>
      </c>
      <c r="E72" s="45"/>
      <c r="F72" s="41"/>
      <c r="G72" s="41"/>
      <c r="H72" s="43"/>
      <c r="I72" s="43"/>
      <c r="J72" s="43"/>
      <c r="K72" s="43"/>
      <c r="L72" s="43"/>
    </row>
    <row r="73" spans="1:12" s="835" customFormat="1" ht="12" x14ac:dyDescent="0.2">
      <c r="A73" s="841"/>
      <c r="B73" s="970" t="s">
        <v>136</v>
      </c>
      <c r="C73" s="971">
        <v>1620</v>
      </c>
      <c r="D73" s="26">
        <v>80000</v>
      </c>
      <c r="E73" s="41"/>
      <c r="F73" s="41"/>
      <c r="G73" s="41"/>
      <c r="H73" s="43"/>
      <c r="I73" s="43"/>
      <c r="J73" s="43"/>
      <c r="K73" s="43"/>
      <c r="L73" s="43"/>
    </row>
    <row r="74" spans="1:12" s="835" customFormat="1" ht="12" x14ac:dyDescent="0.2">
      <c r="A74" s="841">
        <v>1690</v>
      </c>
      <c r="B74" s="965" t="s">
        <v>849</v>
      </c>
      <c r="C74" s="966">
        <v>1690</v>
      </c>
      <c r="D74" s="26">
        <f>50000+6000</f>
        <v>56000</v>
      </c>
      <c r="E74" s="46"/>
      <c r="F74" s="46"/>
      <c r="G74" s="46"/>
      <c r="H74" s="47"/>
      <c r="I74" s="47"/>
      <c r="J74" s="47"/>
      <c r="K74" s="47"/>
      <c r="L74" s="47"/>
    </row>
    <row r="75" spans="1:12" s="835" customFormat="1" thickBot="1" x14ac:dyDescent="0.25">
      <c r="A75" s="841"/>
      <c r="B75" s="961" t="s">
        <v>88</v>
      </c>
      <c r="C75" s="962"/>
      <c r="D75" s="48">
        <f>SUM(D69:D74)</f>
        <v>619000</v>
      </c>
      <c r="E75" s="46"/>
      <c r="F75" s="46"/>
      <c r="G75" s="46"/>
      <c r="H75" s="47"/>
      <c r="I75" s="47"/>
      <c r="J75" s="47"/>
      <c r="K75" s="47"/>
      <c r="L75" s="47"/>
    </row>
    <row r="76" spans="1:12" s="835" customFormat="1" ht="15.75" customHeight="1" thickTop="1" x14ac:dyDescent="0.2">
      <c r="A76" s="841"/>
      <c r="B76" s="967" t="s">
        <v>310</v>
      </c>
      <c r="C76" s="968" t="s">
        <v>626</v>
      </c>
      <c r="D76" s="46"/>
      <c r="E76" s="46"/>
      <c r="F76" s="46"/>
      <c r="G76" s="46"/>
      <c r="H76" s="47"/>
      <c r="I76" s="47"/>
      <c r="J76" s="47"/>
      <c r="K76" s="47"/>
      <c r="L76" s="47"/>
    </row>
    <row r="77" spans="1:12" s="835" customFormat="1" ht="12" x14ac:dyDescent="0.2">
      <c r="A77" s="841"/>
      <c r="B77" s="965" t="s">
        <v>137</v>
      </c>
      <c r="C77" s="966">
        <v>1711</v>
      </c>
      <c r="D77" s="26">
        <v>25000</v>
      </c>
      <c r="E77" s="26"/>
      <c r="F77" s="46"/>
      <c r="G77" s="46"/>
      <c r="H77" s="47"/>
      <c r="I77" s="47"/>
      <c r="J77" s="47"/>
      <c r="K77" s="47"/>
      <c r="L77" s="47"/>
    </row>
    <row r="78" spans="1:12" s="835" customFormat="1" ht="12" x14ac:dyDescent="0.2">
      <c r="A78" s="841"/>
      <c r="B78" s="965" t="s">
        <v>138</v>
      </c>
      <c r="C78" s="966">
        <v>1719</v>
      </c>
      <c r="D78" s="26"/>
      <c r="E78" s="26"/>
      <c r="F78" s="46"/>
      <c r="G78" s="46"/>
      <c r="H78" s="47"/>
      <c r="I78" s="47"/>
      <c r="J78" s="47"/>
      <c r="K78" s="47"/>
      <c r="L78" s="47"/>
    </row>
    <row r="79" spans="1:12" s="835" customFormat="1" ht="12" x14ac:dyDescent="0.2">
      <c r="A79" s="841"/>
      <c r="B79" s="965" t="s">
        <v>139</v>
      </c>
      <c r="C79" s="966">
        <v>1720</v>
      </c>
      <c r="D79" s="26">
        <f>550000+125000+25000+12000+160000</f>
        <v>872000</v>
      </c>
      <c r="E79" s="26"/>
      <c r="F79" s="46"/>
      <c r="G79" s="46"/>
      <c r="H79" s="47"/>
      <c r="I79" s="47"/>
      <c r="J79" s="47"/>
      <c r="K79" s="47"/>
      <c r="L79" s="47"/>
    </row>
    <row r="80" spans="1:12" s="835" customFormat="1" ht="12" x14ac:dyDescent="0.2">
      <c r="A80" s="841"/>
      <c r="B80" s="965" t="s">
        <v>140</v>
      </c>
      <c r="C80" s="966">
        <v>1730</v>
      </c>
      <c r="D80" s="26"/>
      <c r="E80" s="26"/>
      <c r="F80" s="46"/>
      <c r="G80" s="46"/>
      <c r="H80" s="47"/>
      <c r="I80" s="47"/>
      <c r="J80" s="47"/>
      <c r="K80" s="47"/>
      <c r="L80" s="47"/>
    </row>
    <row r="81" spans="1:12" s="835" customFormat="1" ht="12" x14ac:dyDescent="0.2">
      <c r="A81" s="841">
        <v>1790</v>
      </c>
      <c r="B81" s="969" t="s">
        <v>848</v>
      </c>
      <c r="C81" s="966">
        <v>1790</v>
      </c>
      <c r="D81" s="26"/>
      <c r="E81" s="26"/>
      <c r="F81" s="46"/>
      <c r="G81" s="46"/>
      <c r="H81" s="47"/>
      <c r="I81" s="47"/>
      <c r="J81" s="47"/>
      <c r="K81" s="47"/>
      <c r="L81" s="47"/>
    </row>
    <row r="82" spans="1:12" s="835" customFormat="1" ht="12" x14ac:dyDescent="0.2">
      <c r="A82" s="841"/>
      <c r="B82" s="969" t="s">
        <v>755</v>
      </c>
      <c r="C82" s="966" t="s">
        <v>753</v>
      </c>
      <c r="D82" s="637"/>
      <c r="E82" s="41"/>
      <c r="F82" s="617"/>
      <c r="G82" s="46"/>
      <c r="H82" s="47"/>
      <c r="I82" s="47"/>
      <c r="J82" s="47"/>
      <c r="K82" s="47"/>
      <c r="L82" s="47"/>
    </row>
    <row r="83" spans="1:12" s="835" customFormat="1" thickBot="1" x14ac:dyDescent="0.25">
      <c r="A83" s="841"/>
      <c r="B83" s="961" t="s">
        <v>756</v>
      </c>
      <c r="C83" s="962"/>
      <c r="D83" s="48">
        <f>SUM(D77:D81)</f>
        <v>897000</v>
      </c>
      <c r="E83" s="48">
        <f>SUM(E77:E81)</f>
        <v>0</v>
      </c>
      <c r="F83" s="46"/>
      <c r="G83" s="46"/>
      <c r="H83" s="47"/>
      <c r="I83" s="47"/>
      <c r="J83" s="47"/>
      <c r="K83" s="47"/>
      <c r="L83" s="47"/>
    </row>
    <row r="84" spans="1:12" s="835" customFormat="1" ht="13.5" thickTop="1" thickBot="1" x14ac:dyDescent="0.25">
      <c r="A84" s="841"/>
      <c r="B84" s="961" t="s">
        <v>757</v>
      </c>
      <c r="C84" s="962"/>
      <c r="D84" s="48">
        <f>D83+D82</f>
        <v>897000</v>
      </c>
      <c r="E84" s="46"/>
      <c r="F84" s="46"/>
      <c r="G84" s="46"/>
      <c r="H84" s="47"/>
      <c r="I84" s="47"/>
      <c r="J84" s="47"/>
      <c r="K84" s="47"/>
      <c r="L84" s="47"/>
    </row>
    <row r="85" spans="1:12" s="835" customFormat="1" ht="15.75" customHeight="1" thickTop="1" x14ac:dyDescent="0.2">
      <c r="A85" s="841"/>
      <c r="B85" s="967" t="s">
        <v>633</v>
      </c>
      <c r="C85" s="968" t="s">
        <v>627</v>
      </c>
      <c r="D85" s="46"/>
      <c r="E85" s="46"/>
      <c r="F85" s="46"/>
      <c r="G85" s="46"/>
      <c r="H85" s="47"/>
      <c r="I85" s="47"/>
      <c r="J85" s="47"/>
      <c r="K85" s="47"/>
      <c r="L85" s="47"/>
    </row>
    <row r="86" spans="1:12" s="835" customFormat="1" ht="12" x14ac:dyDescent="0.2">
      <c r="A86" s="841"/>
      <c r="B86" s="965" t="s">
        <v>824</v>
      </c>
      <c r="C86" s="966">
        <v>1811</v>
      </c>
      <c r="D86" s="26"/>
      <c r="E86" s="46"/>
      <c r="F86" s="46"/>
      <c r="G86" s="46"/>
      <c r="H86" s="47"/>
      <c r="I86" s="47"/>
      <c r="J86" s="47"/>
      <c r="K86" s="47"/>
      <c r="L86" s="47"/>
    </row>
    <row r="87" spans="1:12" s="835" customFormat="1" ht="12" x14ac:dyDescent="0.2">
      <c r="A87" s="841"/>
      <c r="B87" s="965" t="s">
        <v>825</v>
      </c>
      <c r="C87" s="966">
        <v>1812</v>
      </c>
      <c r="D87" s="26"/>
      <c r="E87" s="46"/>
      <c r="F87" s="46"/>
      <c r="G87" s="46"/>
      <c r="H87" s="47"/>
      <c r="I87" s="47"/>
      <c r="J87" s="47"/>
      <c r="K87" s="47"/>
      <c r="L87" s="47"/>
    </row>
    <row r="88" spans="1:12" s="835" customFormat="1" ht="12" x14ac:dyDescent="0.2">
      <c r="A88" s="841"/>
      <c r="B88" s="965" t="s">
        <v>826</v>
      </c>
      <c r="C88" s="966">
        <v>1813</v>
      </c>
      <c r="D88" s="26"/>
      <c r="E88" s="46"/>
      <c r="F88" s="46"/>
      <c r="G88" s="46"/>
      <c r="H88" s="47"/>
      <c r="I88" s="47"/>
      <c r="J88" s="47"/>
      <c r="K88" s="47"/>
      <c r="L88" s="47"/>
    </row>
    <row r="89" spans="1:12" s="835" customFormat="1" ht="12" x14ac:dyDescent="0.2">
      <c r="A89" s="841">
        <v>1819</v>
      </c>
      <c r="B89" s="965" t="s">
        <v>847</v>
      </c>
      <c r="C89" s="966">
        <v>1819</v>
      </c>
      <c r="D89" s="26"/>
      <c r="E89" s="46"/>
      <c r="F89" s="46"/>
      <c r="G89" s="46"/>
      <c r="H89" s="47"/>
      <c r="I89" s="47"/>
      <c r="J89" s="47"/>
      <c r="K89" s="47"/>
      <c r="L89" s="47"/>
    </row>
    <row r="90" spans="1:12" s="835" customFormat="1" ht="12" x14ac:dyDescent="0.2">
      <c r="A90" s="841"/>
      <c r="B90" s="965" t="s">
        <v>827</v>
      </c>
      <c r="C90" s="966">
        <v>1821</v>
      </c>
      <c r="D90" s="26"/>
      <c r="E90" s="46"/>
      <c r="F90" s="46"/>
      <c r="G90" s="46"/>
      <c r="H90" s="47"/>
      <c r="I90" s="47"/>
      <c r="J90" s="47"/>
      <c r="K90" s="47"/>
      <c r="L90" s="47"/>
    </row>
    <row r="91" spans="1:12" s="835" customFormat="1" ht="12" x14ac:dyDescent="0.2">
      <c r="A91" s="841"/>
      <c r="B91" s="965" t="s">
        <v>829</v>
      </c>
      <c r="C91" s="966">
        <v>1822</v>
      </c>
      <c r="D91" s="26"/>
      <c r="E91" s="46"/>
      <c r="F91" s="46"/>
      <c r="G91" s="46"/>
      <c r="H91" s="47"/>
      <c r="I91" s="47"/>
      <c r="J91" s="47"/>
      <c r="K91" s="47"/>
      <c r="L91" s="47"/>
    </row>
    <row r="92" spans="1:12" s="835" customFormat="1" ht="12" x14ac:dyDescent="0.2">
      <c r="A92" s="841"/>
      <c r="B92" s="965" t="s">
        <v>828</v>
      </c>
      <c r="C92" s="966">
        <v>1823</v>
      </c>
      <c r="D92" s="26"/>
      <c r="E92" s="46"/>
      <c r="F92" s="46"/>
      <c r="G92" s="46"/>
      <c r="H92" s="47"/>
      <c r="I92" s="47"/>
      <c r="J92" s="47"/>
      <c r="K92" s="47"/>
      <c r="L92" s="47"/>
    </row>
    <row r="93" spans="1:12" s="835" customFormat="1" ht="12" x14ac:dyDescent="0.2">
      <c r="A93" s="841">
        <v>1829</v>
      </c>
      <c r="B93" s="965" t="s">
        <v>846</v>
      </c>
      <c r="C93" s="966">
        <v>1829</v>
      </c>
      <c r="D93" s="26"/>
      <c r="E93" s="46"/>
      <c r="F93" s="46"/>
      <c r="G93" s="46"/>
      <c r="H93" s="47"/>
      <c r="I93" s="47"/>
      <c r="J93" s="47"/>
      <c r="K93" s="47"/>
      <c r="L93" s="47"/>
    </row>
    <row r="94" spans="1:12" s="835" customFormat="1" ht="12" x14ac:dyDescent="0.2">
      <c r="A94" s="841">
        <v>1890</v>
      </c>
      <c r="B94" s="965" t="s">
        <v>845</v>
      </c>
      <c r="C94" s="966">
        <v>1890</v>
      </c>
      <c r="D94" s="26"/>
      <c r="E94" s="46"/>
      <c r="F94" s="46"/>
      <c r="G94" s="46"/>
      <c r="H94" s="47"/>
      <c r="I94" s="47"/>
      <c r="J94" s="47"/>
      <c r="K94" s="47"/>
      <c r="L94" s="47"/>
    </row>
    <row r="95" spans="1:12" s="835" customFormat="1" thickBot="1" x14ac:dyDescent="0.25">
      <c r="A95" s="841"/>
      <c r="B95" s="961" t="s">
        <v>89</v>
      </c>
      <c r="C95" s="962"/>
      <c r="D95" s="48">
        <f>SUM(D86:D94)</f>
        <v>0</v>
      </c>
      <c r="E95" s="46"/>
      <c r="F95" s="46"/>
      <c r="G95" s="46"/>
      <c r="H95" s="47"/>
      <c r="I95" s="47"/>
      <c r="J95" s="47"/>
      <c r="K95" s="47"/>
      <c r="L95" s="47"/>
    </row>
    <row r="96" spans="1:12" s="835" customFormat="1" ht="15.75" customHeight="1" thickTop="1" x14ac:dyDescent="0.2">
      <c r="A96" s="841"/>
      <c r="B96" s="963" t="s">
        <v>199</v>
      </c>
      <c r="C96" s="964" t="s">
        <v>628</v>
      </c>
      <c r="D96" s="49"/>
      <c r="E96" s="49"/>
      <c r="F96" s="49"/>
      <c r="G96" s="49"/>
      <c r="H96" s="50"/>
      <c r="I96" s="50"/>
      <c r="J96" s="50"/>
      <c r="K96" s="50"/>
      <c r="L96" s="50"/>
    </row>
    <row r="97" spans="1:12" s="835" customFormat="1" ht="12" x14ac:dyDescent="0.2">
      <c r="A97" s="841"/>
      <c r="B97" s="960" t="s">
        <v>200</v>
      </c>
      <c r="C97" s="942">
        <v>1910</v>
      </c>
      <c r="D97" s="51"/>
      <c r="E97" s="51">
        <f>15000+30000+80000+120000</f>
        <v>245000</v>
      </c>
      <c r="F97" s="49"/>
      <c r="G97" s="49"/>
      <c r="H97" s="50"/>
      <c r="I97" s="50"/>
      <c r="J97" s="50"/>
      <c r="K97" s="50"/>
      <c r="L97" s="50"/>
    </row>
    <row r="98" spans="1:12" s="835" customFormat="1" ht="12" x14ac:dyDescent="0.2">
      <c r="A98" s="841"/>
      <c r="B98" s="960" t="s">
        <v>358</v>
      </c>
      <c r="C98" s="940">
        <v>1920</v>
      </c>
      <c r="D98" s="26"/>
      <c r="E98" s="26"/>
      <c r="F98" s="26"/>
      <c r="G98" s="26"/>
      <c r="H98" s="26"/>
      <c r="I98" s="26"/>
      <c r="J98" s="26"/>
      <c r="K98" s="26"/>
      <c r="L98" s="26"/>
    </row>
    <row r="99" spans="1:12" s="835" customFormat="1" ht="12" x14ac:dyDescent="0.2">
      <c r="A99" s="841"/>
      <c r="B99" s="960" t="s">
        <v>314</v>
      </c>
      <c r="C99" s="940">
        <v>1930</v>
      </c>
      <c r="D99" s="26"/>
      <c r="E99" s="26"/>
      <c r="F99" s="26"/>
      <c r="G99" s="26"/>
      <c r="H99" s="26"/>
      <c r="I99" s="26"/>
      <c r="J99" s="26"/>
      <c r="K99" s="26"/>
      <c r="L99" s="26"/>
    </row>
    <row r="100" spans="1:12" s="835" customFormat="1" ht="12" x14ac:dyDescent="0.2">
      <c r="A100" s="841"/>
      <c r="B100" s="960" t="s">
        <v>28</v>
      </c>
      <c r="C100" s="940">
        <v>1940</v>
      </c>
      <c r="D100" s="26">
        <v>550000</v>
      </c>
      <c r="E100" s="26"/>
      <c r="F100" s="49"/>
      <c r="G100" s="51"/>
      <c r="H100" s="50"/>
      <c r="I100" s="50"/>
      <c r="J100" s="50"/>
      <c r="K100" s="50"/>
      <c r="L100" s="50"/>
    </row>
    <row r="101" spans="1:12" s="835" customFormat="1" ht="12" x14ac:dyDescent="0.2">
      <c r="A101" s="841"/>
      <c r="B101" s="960" t="s">
        <v>12</v>
      </c>
      <c r="C101" s="940">
        <v>1950</v>
      </c>
      <c r="D101" s="26"/>
      <c r="E101" s="26"/>
      <c r="F101" s="26"/>
      <c r="G101" s="26"/>
      <c r="H101" s="26"/>
      <c r="I101" s="26"/>
      <c r="J101" s="50"/>
      <c r="K101" s="26"/>
      <c r="L101" s="26"/>
    </row>
    <row r="102" spans="1:12" s="835" customFormat="1" ht="12" x14ac:dyDescent="0.2">
      <c r="A102" s="841"/>
      <c r="B102" s="960" t="s">
        <v>324</v>
      </c>
      <c r="C102" s="940">
        <v>1960</v>
      </c>
      <c r="D102" s="26"/>
      <c r="E102" s="26"/>
      <c r="F102" s="26"/>
      <c r="G102" s="26"/>
      <c r="H102" s="26"/>
      <c r="I102" s="26"/>
      <c r="J102" s="55"/>
      <c r="K102" s="26"/>
      <c r="L102" s="26"/>
    </row>
    <row r="103" spans="1:12" s="835" customFormat="1" ht="12" x14ac:dyDescent="0.2">
      <c r="A103" s="841"/>
      <c r="B103" s="960" t="s">
        <v>325</v>
      </c>
      <c r="C103" s="940">
        <v>1970</v>
      </c>
      <c r="D103" s="54"/>
      <c r="E103" s="56"/>
      <c r="F103" s="56"/>
      <c r="G103" s="56"/>
      <c r="H103" s="57"/>
      <c r="I103" s="57"/>
      <c r="J103" s="58"/>
      <c r="K103" s="57"/>
      <c r="L103" s="57"/>
    </row>
    <row r="104" spans="1:12" s="835" customFormat="1" ht="12" x14ac:dyDescent="0.2">
      <c r="A104" s="841"/>
      <c r="B104" s="960" t="s">
        <v>326</v>
      </c>
      <c r="C104" s="940">
        <v>1980</v>
      </c>
      <c r="D104" s="54"/>
      <c r="E104" s="54"/>
      <c r="F104" s="54"/>
      <c r="G104" s="54"/>
      <c r="H104" s="54"/>
      <c r="I104" s="54"/>
      <c r="J104" s="54"/>
      <c r="K104" s="54"/>
      <c r="L104" s="54"/>
    </row>
    <row r="105" spans="1:12" s="835" customFormat="1" ht="12" x14ac:dyDescent="0.2">
      <c r="A105" s="841"/>
      <c r="B105" s="960" t="s">
        <v>292</v>
      </c>
      <c r="C105" s="940">
        <v>1983</v>
      </c>
      <c r="D105" s="59"/>
      <c r="E105" s="61"/>
      <c r="F105" s="59"/>
      <c r="G105" s="61"/>
      <c r="H105" s="62"/>
      <c r="I105" s="60"/>
      <c r="J105" s="58"/>
      <c r="K105" s="58"/>
      <c r="L105" s="58"/>
    </row>
    <row r="106" spans="1:12" s="835" customFormat="1" ht="12" x14ac:dyDescent="0.2">
      <c r="A106" s="841"/>
      <c r="B106" s="960" t="s">
        <v>29</v>
      </c>
      <c r="C106" s="940">
        <v>1991</v>
      </c>
      <c r="D106" s="59"/>
      <c r="E106" s="59"/>
      <c r="F106" s="59"/>
      <c r="G106" s="59"/>
      <c r="H106" s="59"/>
      <c r="I106" s="59"/>
      <c r="J106" s="50"/>
      <c r="K106" s="50"/>
      <c r="L106" s="50"/>
    </row>
    <row r="107" spans="1:12" s="835" customFormat="1" ht="12" x14ac:dyDescent="0.2">
      <c r="A107" s="841"/>
      <c r="B107" s="960" t="s">
        <v>61</v>
      </c>
      <c r="C107" s="940">
        <v>1992</v>
      </c>
      <c r="D107" s="53"/>
      <c r="E107" s="49"/>
      <c r="F107" s="49"/>
      <c r="G107" s="49"/>
      <c r="H107" s="50"/>
      <c r="I107" s="50"/>
      <c r="J107" s="50"/>
      <c r="K107" s="50"/>
      <c r="L107" s="50"/>
    </row>
    <row r="108" spans="1:12" s="835" customFormat="1" ht="12" x14ac:dyDescent="0.2">
      <c r="A108" s="841">
        <v>1993</v>
      </c>
      <c r="B108" s="960" t="s">
        <v>844</v>
      </c>
      <c r="C108" s="940">
        <v>1993</v>
      </c>
      <c r="D108" s="53"/>
      <c r="E108" s="53"/>
      <c r="F108" s="53"/>
      <c r="G108" s="53"/>
      <c r="H108" s="53"/>
      <c r="I108" s="53"/>
      <c r="J108" s="50"/>
      <c r="K108" s="52"/>
      <c r="L108" s="52"/>
    </row>
    <row r="109" spans="1:12" s="835" customFormat="1" ht="12" x14ac:dyDescent="0.2">
      <c r="A109" s="841">
        <v>1999</v>
      </c>
      <c r="B109" s="960" t="s">
        <v>843</v>
      </c>
      <c r="C109" s="940">
        <v>1999</v>
      </c>
      <c r="D109" s="53">
        <f>150000+90000+220500</f>
        <v>460500</v>
      </c>
      <c r="E109" s="53">
        <v>25000</v>
      </c>
      <c r="F109" s="53">
        <v>600000</v>
      </c>
      <c r="G109" s="53"/>
      <c r="H109" s="53"/>
      <c r="I109" s="53">
        <f>500000+900000</f>
        <v>1400000</v>
      </c>
      <c r="J109" s="52"/>
      <c r="K109" s="52"/>
      <c r="L109" s="52"/>
    </row>
    <row r="110" spans="1:12" s="835" customFormat="1" thickBot="1" x14ac:dyDescent="0.25">
      <c r="A110" s="841"/>
      <c r="B110" s="953" t="s">
        <v>90</v>
      </c>
      <c r="C110" s="879"/>
      <c r="D110" s="63">
        <f>SUM(D97:D109)</f>
        <v>1010500</v>
      </c>
      <c r="E110" s="63">
        <f>SUM(E97:E109)</f>
        <v>270000</v>
      </c>
      <c r="F110" s="63">
        <f t="shared" ref="F110:L110" si="3">SUM(F97:F109)</f>
        <v>600000</v>
      </c>
      <c r="G110" s="63">
        <f t="shared" si="3"/>
        <v>0</v>
      </c>
      <c r="H110" s="63">
        <f t="shared" si="3"/>
        <v>0</v>
      </c>
      <c r="I110" s="63">
        <f t="shared" si="3"/>
        <v>1400000</v>
      </c>
      <c r="J110" s="63">
        <f t="shared" si="3"/>
        <v>0</v>
      </c>
      <c r="K110" s="63">
        <f t="shared" si="3"/>
        <v>0</v>
      </c>
      <c r="L110" s="63">
        <f t="shared" si="3"/>
        <v>0</v>
      </c>
    </row>
    <row r="111" spans="1:12" s="835" customFormat="1" ht="24.75" customHeight="1" thickTop="1" thickBot="1" x14ac:dyDescent="0.25">
      <c r="A111" s="841"/>
      <c r="B111" s="954" t="s">
        <v>758</v>
      </c>
      <c r="C111" s="955" t="s">
        <v>240</v>
      </c>
      <c r="D111" s="64">
        <f t="shared" ref="D111:L111" si="4">SUM(D12,D18,D40,D63,D67,D75,D83,D95,D110)</f>
        <v>71749500</v>
      </c>
      <c r="E111" s="64">
        <f t="shared" si="4"/>
        <v>8220000</v>
      </c>
      <c r="F111" s="64">
        <f t="shared" si="4"/>
        <v>3619000</v>
      </c>
      <c r="G111" s="64">
        <f t="shared" si="4"/>
        <v>842000</v>
      </c>
      <c r="H111" s="64">
        <f t="shared" si="4"/>
        <v>3400000</v>
      </c>
      <c r="I111" s="64">
        <f t="shared" si="4"/>
        <v>1400000</v>
      </c>
      <c r="J111" s="64">
        <f t="shared" si="4"/>
        <v>0</v>
      </c>
      <c r="K111" s="64">
        <f t="shared" si="4"/>
        <v>360000</v>
      </c>
      <c r="L111" s="64">
        <f t="shared" si="4"/>
        <v>0</v>
      </c>
    </row>
    <row r="112" spans="1:12" s="835" customFormat="1" ht="24.75" customHeight="1" thickTop="1" thickBot="1" x14ac:dyDescent="0.25">
      <c r="A112" s="841"/>
      <c r="B112" s="956" t="s">
        <v>759</v>
      </c>
      <c r="C112" s="957"/>
      <c r="D112" s="64">
        <f>D12+D18+D40+D67+D75+D84+D95+D110</f>
        <v>71749500</v>
      </c>
      <c r="E112" s="58"/>
      <c r="F112" s="58"/>
      <c r="G112" s="58"/>
      <c r="H112" s="58"/>
      <c r="I112" s="58"/>
      <c r="J112" s="58"/>
      <c r="K112" s="58"/>
      <c r="L112" s="58"/>
    </row>
    <row r="113" spans="1:12" s="835" customFormat="1" ht="24.75" thickTop="1" x14ac:dyDescent="0.2">
      <c r="A113" s="841"/>
      <c r="B113" s="958" t="s">
        <v>730</v>
      </c>
      <c r="C113" s="959"/>
      <c r="D113" s="65"/>
      <c r="E113" s="65"/>
      <c r="F113" s="65"/>
      <c r="G113" s="65"/>
      <c r="H113" s="66"/>
      <c r="I113" s="66"/>
      <c r="J113" s="66"/>
      <c r="K113" s="66"/>
      <c r="L113" s="67"/>
    </row>
    <row r="114" spans="1:12" s="835" customFormat="1" ht="12" x14ac:dyDescent="0.2">
      <c r="A114" s="841"/>
      <c r="B114" s="951" t="s">
        <v>60</v>
      </c>
      <c r="C114" s="952">
        <v>2100</v>
      </c>
      <c r="D114" s="53"/>
      <c r="E114" s="53"/>
      <c r="F114" s="49"/>
      <c r="G114" s="53"/>
      <c r="H114" s="53"/>
      <c r="I114" s="50"/>
      <c r="J114" s="50"/>
      <c r="K114" s="50"/>
      <c r="L114" s="50"/>
    </row>
    <row r="115" spans="1:12" s="835" customFormat="1" ht="12" x14ac:dyDescent="0.2">
      <c r="A115" s="841"/>
      <c r="B115" s="939" t="s">
        <v>228</v>
      </c>
      <c r="C115" s="940">
        <v>2200</v>
      </c>
      <c r="D115" s="53"/>
      <c r="E115" s="53"/>
      <c r="F115" s="49"/>
      <c r="G115" s="53"/>
      <c r="H115" s="53"/>
      <c r="I115" s="50"/>
      <c r="J115" s="50"/>
      <c r="K115" s="50"/>
      <c r="L115" s="50"/>
    </row>
    <row r="116" spans="1:12" s="835" customFormat="1" ht="12" x14ac:dyDescent="0.2">
      <c r="A116" s="841">
        <v>2300</v>
      </c>
      <c r="B116" s="939" t="s">
        <v>3080</v>
      </c>
      <c r="C116" s="940">
        <v>2300</v>
      </c>
      <c r="D116" s="53"/>
      <c r="E116" s="53"/>
      <c r="F116" s="49"/>
      <c r="G116" s="53"/>
      <c r="H116" s="53"/>
      <c r="I116" s="50"/>
      <c r="J116" s="50"/>
      <c r="K116" s="50"/>
      <c r="L116" s="50"/>
    </row>
    <row r="117" spans="1:12" s="835" customFormat="1" ht="23.25" thickBot="1" x14ac:dyDescent="0.25">
      <c r="A117" s="841"/>
      <c r="B117" s="947" t="s">
        <v>3082</v>
      </c>
      <c r="C117" s="948" t="s">
        <v>100</v>
      </c>
      <c r="D117" s="63">
        <f>SUM(D114:D116)</f>
        <v>0</v>
      </c>
      <c r="E117" s="63">
        <f>SUM(E114:E116)</f>
        <v>0</v>
      </c>
      <c r="F117" s="49"/>
      <c r="G117" s="63">
        <f>SUM(G114:G116)</f>
        <v>0</v>
      </c>
      <c r="H117" s="63">
        <f>SUM(H114:H116)</f>
        <v>0</v>
      </c>
      <c r="I117" s="50"/>
      <c r="J117" s="50"/>
      <c r="K117" s="50"/>
      <c r="L117" s="50"/>
    </row>
    <row r="118" spans="1:12" s="835" customFormat="1" ht="16.7" customHeight="1" thickTop="1" x14ac:dyDescent="0.2">
      <c r="A118" s="841"/>
      <c r="B118" s="949" t="s">
        <v>629</v>
      </c>
      <c r="C118" s="950"/>
      <c r="D118" s="68"/>
      <c r="E118" s="69"/>
      <c r="F118" s="70"/>
      <c r="G118" s="69"/>
      <c r="H118" s="71"/>
      <c r="I118" s="72"/>
      <c r="J118" s="72"/>
      <c r="K118" s="72"/>
      <c r="L118" s="73"/>
    </row>
    <row r="119" spans="1:12" s="835" customFormat="1" ht="16.5" customHeight="1" x14ac:dyDescent="0.2">
      <c r="A119" s="841"/>
      <c r="B119" s="937" t="s">
        <v>631</v>
      </c>
      <c r="C119" s="938"/>
      <c r="D119" s="49"/>
      <c r="E119" s="49"/>
      <c r="F119" s="49"/>
      <c r="G119" s="49"/>
      <c r="H119" s="50"/>
      <c r="I119" s="50"/>
      <c r="J119" s="50"/>
      <c r="K119" s="50"/>
      <c r="L119" s="50"/>
    </row>
    <row r="120" spans="1:12" s="835" customFormat="1" ht="12" x14ac:dyDescent="0.2">
      <c r="A120" s="841"/>
      <c r="B120" s="939" t="s">
        <v>651</v>
      </c>
      <c r="C120" s="940">
        <v>3001</v>
      </c>
      <c r="D120" s="53">
        <v>3000000</v>
      </c>
      <c r="E120" s="53"/>
      <c r="F120" s="53"/>
      <c r="G120" s="53"/>
      <c r="H120" s="53"/>
      <c r="I120" s="53"/>
      <c r="J120" s="50"/>
      <c r="K120" s="53"/>
      <c r="L120" s="53"/>
    </row>
    <row r="121" spans="1:12" s="835" customFormat="1" ht="12" x14ac:dyDescent="0.2">
      <c r="A121" s="841"/>
      <c r="B121" s="941" t="s">
        <v>30</v>
      </c>
      <c r="C121" s="942">
        <v>3005</v>
      </c>
      <c r="D121" s="53"/>
      <c r="E121" s="53"/>
      <c r="F121" s="53"/>
      <c r="G121" s="53"/>
      <c r="H121" s="53"/>
      <c r="I121" s="53"/>
      <c r="J121" s="50"/>
      <c r="K121" s="53"/>
      <c r="L121" s="53"/>
    </row>
    <row r="122" spans="1:12" s="936" customFormat="1" ht="12" x14ac:dyDescent="0.2">
      <c r="A122" s="841"/>
      <c r="B122" s="943" t="s">
        <v>656</v>
      </c>
      <c r="C122" s="944" t="s">
        <v>657</v>
      </c>
      <c r="D122" s="53"/>
      <c r="E122" s="53"/>
      <c r="F122" s="53"/>
      <c r="G122" s="53"/>
      <c r="H122" s="53"/>
      <c r="I122" s="53"/>
      <c r="J122" s="50"/>
      <c r="K122" s="53"/>
      <c r="L122" s="53"/>
    </row>
    <row r="123" spans="1:12" s="835" customFormat="1" ht="22.5" x14ac:dyDescent="0.2">
      <c r="A123" s="841">
        <v>3099</v>
      </c>
      <c r="B123" s="945" t="s">
        <v>842</v>
      </c>
      <c r="C123" s="946">
        <v>3099</v>
      </c>
      <c r="D123" s="53"/>
      <c r="E123" s="53"/>
      <c r="F123" s="53"/>
      <c r="G123" s="53"/>
      <c r="H123" s="53"/>
      <c r="I123" s="53"/>
      <c r="J123" s="75"/>
      <c r="K123" s="53"/>
      <c r="L123" s="53"/>
    </row>
    <row r="124" spans="1:12" s="835" customFormat="1" thickBot="1" x14ac:dyDescent="0.25">
      <c r="A124" s="841"/>
      <c r="B124" s="925" t="s">
        <v>91</v>
      </c>
      <c r="C124" s="931"/>
      <c r="D124" s="76">
        <f t="shared" ref="D124:I124" si="5">SUM(D120:D123)</f>
        <v>3000000</v>
      </c>
      <c r="E124" s="76">
        <f t="shared" si="5"/>
        <v>0</v>
      </c>
      <c r="F124" s="76">
        <f t="shared" si="5"/>
        <v>0</v>
      </c>
      <c r="G124" s="76">
        <f t="shared" si="5"/>
        <v>0</v>
      </c>
      <c r="H124" s="76">
        <f t="shared" si="5"/>
        <v>0</v>
      </c>
      <c r="I124" s="76">
        <f t="shared" si="5"/>
        <v>0</v>
      </c>
      <c r="J124" s="75"/>
      <c r="K124" s="76">
        <f>SUM(K120:K123)</f>
        <v>0</v>
      </c>
      <c r="L124" s="76">
        <f>SUM(L120:L123)</f>
        <v>0</v>
      </c>
    </row>
    <row r="125" spans="1:12" s="835" customFormat="1" ht="15.75" customHeight="1" thickTop="1" x14ac:dyDescent="0.2">
      <c r="A125" s="841"/>
      <c r="B125" s="932" t="s">
        <v>630</v>
      </c>
      <c r="C125" s="933"/>
      <c r="D125" s="77"/>
      <c r="E125" s="77"/>
      <c r="F125" s="78"/>
      <c r="G125" s="77"/>
      <c r="H125" s="75"/>
      <c r="I125" s="75"/>
      <c r="J125" s="75"/>
      <c r="K125" s="75"/>
      <c r="L125" s="75"/>
    </row>
    <row r="126" spans="1:12" s="835" customFormat="1" ht="12" x14ac:dyDescent="0.2">
      <c r="A126" s="841"/>
      <c r="B126" s="934" t="s">
        <v>454</v>
      </c>
      <c r="C126" s="935"/>
      <c r="D126" s="77"/>
      <c r="E126" s="77"/>
      <c r="F126" s="78"/>
      <c r="G126" s="77"/>
      <c r="H126" s="75"/>
      <c r="I126" s="75"/>
      <c r="J126" s="75"/>
      <c r="K126" s="75"/>
      <c r="L126" s="75"/>
    </row>
    <row r="127" spans="1:12" s="835" customFormat="1" ht="12" x14ac:dyDescent="0.2">
      <c r="A127" s="841"/>
      <c r="B127" s="928" t="s">
        <v>62</v>
      </c>
      <c r="C127" s="930">
        <v>3100</v>
      </c>
      <c r="D127" s="53">
        <v>500000</v>
      </c>
      <c r="E127" s="78"/>
      <c r="F127" s="78"/>
      <c r="G127" s="53"/>
      <c r="H127" s="75"/>
      <c r="I127" s="75"/>
      <c r="J127" s="75"/>
      <c r="K127" s="75"/>
      <c r="L127" s="75"/>
    </row>
    <row r="128" spans="1:12" s="835" customFormat="1" ht="12" x14ac:dyDescent="0.2">
      <c r="A128" s="841"/>
      <c r="B128" s="928" t="s">
        <v>588</v>
      </c>
      <c r="C128" s="929">
        <v>3105</v>
      </c>
      <c r="D128" s="53"/>
      <c r="E128" s="77"/>
      <c r="F128" s="78"/>
      <c r="G128" s="53"/>
      <c r="H128" s="75"/>
      <c r="I128" s="75"/>
      <c r="J128" s="75"/>
      <c r="K128" s="75"/>
      <c r="L128" s="75"/>
    </row>
    <row r="129" spans="1:12" s="835" customFormat="1" ht="12" x14ac:dyDescent="0.2">
      <c r="A129" s="841"/>
      <c r="B129" s="928" t="s">
        <v>64</v>
      </c>
      <c r="C129" s="929">
        <v>3110</v>
      </c>
      <c r="D129" s="53"/>
      <c r="E129" s="74"/>
      <c r="F129" s="78"/>
      <c r="G129" s="53"/>
      <c r="H129" s="75"/>
      <c r="I129" s="75"/>
      <c r="J129" s="75"/>
      <c r="K129" s="75"/>
      <c r="L129" s="75"/>
    </row>
    <row r="130" spans="1:12" s="835" customFormat="1" ht="12" x14ac:dyDescent="0.2">
      <c r="A130" s="841"/>
      <c r="B130" s="928" t="s">
        <v>65</v>
      </c>
      <c r="C130" s="929">
        <v>3120</v>
      </c>
      <c r="D130" s="53">
        <v>70000</v>
      </c>
      <c r="E130" s="77"/>
      <c r="F130" s="78"/>
      <c r="G130" s="53"/>
      <c r="H130" s="75"/>
      <c r="I130" s="75"/>
      <c r="J130" s="75"/>
      <c r="K130" s="75"/>
      <c r="L130" s="75"/>
    </row>
    <row r="131" spans="1:12" s="835" customFormat="1" ht="12" x14ac:dyDescent="0.2">
      <c r="A131" s="841"/>
      <c r="B131" s="928" t="s">
        <v>589</v>
      </c>
      <c r="C131" s="929">
        <v>3130</v>
      </c>
      <c r="D131" s="53"/>
      <c r="E131" s="77"/>
      <c r="F131" s="78"/>
      <c r="G131" s="53"/>
      <c r="H131" s="75"/>
      <c r="I131" s="75"/>
      <c r="J131" s="75"/>
      <c r="K131" s="75"/>
      <c r="L131" s="75"/>
    </row>
    <row r="132" spans="1:12" s="835" customFormat="1" ht="12" x14ac:dyDescent="0.2">
      <c r="A132" s="841"/>
      <c r="B132" s="928" t="s">
        <v>66</v>
      </c>
      <c r="C132" s="929">
        <v>3145</v>
      </c>
      <c r="D132" s="53"/>
      <c r="E132" s="77"/>
      <c r="F132" s="78"/>
      <c r="G132" s="53"/>
      <c r="H132" s="75"/>
      <c r="I132" s="75"/>
      <c r="J132" s="75"/>
      <c r="K132" s="75"/>
      <c r="L132" s="75"/>
    </row>
    <row r="133" spans="1:12" s="835" customFormat="1" ht="12" x14ac:dyDescent="0.2">
      <c r="A133" s="841">
        <v>3199</v>
      </c>
      <c r="B133" s="928" t="s">
        <v>3081</v>
      </c>
      <c r="C133" s="929">
        <v>3199</v>
      </c>
      <c r="D133" s="53"/>
      <c r="E133" s="74"/>
      <c r="F133" s="78"/>
      <c r="G133" s="53"/>
      <c r="H133" s="75"/>
      <c r="I133" s="75"/>
      <c r="J133" s="75"/>
      <c r="K133" s="75"/>
      <c r="L133" s="75"/>
    </row>
    <row r="134" spans="1:12" s="835" customFormat="1" thickBot="1" x14ac:dyDescent="0.25">
      <c r="A134" s="841"/>
      <c r="B134" s="925" t="s">
        <v>92</v>
      </c>
      <c r="C134" s="926"/>
      <c r="D134" s="76">
        <f>SUM(D127:D133)</f>
        <v>570000</v>
      </c>
      <c r="E134" s="76">
        <f>SUM(E127:E133)</f>
        <v>0</v>
      </c>
      <c r="F134" s="77"/>
      <c r="G134" s="76">
        <f>SUM(G127:G133)</f>
        <v>0</v>
      </c>
      <c r="H134" s="75"/>
      <c r="I134" s="75"/>
      <c r="J134" s="75"/>
      <c r="K134" s="75"/>
      <c r="L134" s="75"/>
    </row>
    <row r="135" spans="1:12" s="835" customFormat="1" ht="15.75" customHeight="1" thickTop="1" x14ac:dyDescent="0.2">
      <c r="A135" s="841"/>
      <c r="B135" s="862" t="s">
        <v>387</v>
      </c>
      <c r="C135" s="927"/>
      <c r="D135" s="79"/>
      <c r="E135" s="79"/>
      <c r="F135" s="77"/>
      <c r="G135" s="77"/>
      <c r="H135" s="75"/>
      <c r="I135" s="75"/>
      <c r="J135" s="75"/>
      <c r="K135" s="75"/>
      <c r="L135" s="75"/>
    </row>
    <row r="136" spans="1:12" s="835" customFormat="1" ht="12" x14ac:dyDescent="0.2">
      <c r="A136" s="841"/>
      <c r="B136" s="921" t="s">
        <v>31</v>
      </c>
      <c r="C136" s="915">
        <v>3200</v>
      </c>
      <c r="D136" s="53"/>
      <c r="E136" s="53"/>
      <c r="F136" s="81"/>
      <c r="G136" s="81"/>
      <c r="H136" s="53"/>
      <c r="I136" s="82"/>
      <c r="J136" s="82"/>
      <c r="K136" s="82"/>
      <c r="L136" s="82"/>
    </row>
    <row r="137" spans="1:12" s="835" customFormat="1" ht="12" x14ac:dyDescent="0.2">
      <c r="A137" s="841"/>
      <c r="B137" s="921" t="s">
        <v>32</v>
      </c>
      <c r="C137" s="915">
        <v>3220</v>
      </c>
      <c r="D137" s="53">
        <v>116500</v>
      </c>
      <c r="E137" s="53"/>
      <c r="F137" s="81"/>
      <c r="G137" s="81"/>
      <c r="H137" s="53"/>
      <c r="I137" s="82"/>
      <c r="J137" s="82"/>
      <c r="K137" s="82"/>
      <c r="L137" s="82"/>
    </row>
    <row r="138" spans="1:12" s="835" customFormat="1" ht="12" x14ac:dyDescent="0.2">
      <c r="A138" s="841"/>
      <c r="B138" s="921" t="s">
        <v>327</v>
      </c>
      <c r="C138" s="915">
        <v>3225</v>
      </c>
      <c r="D138" s="53"/>
      <c r="E138" s="53"/>
      <c r="F138" s="81"/>
      <c r="G138" s="81"/>
      <c r="H138" s="53"/>
      <c r="I138" s="82"/>
      <c r="J138" s="82"/>
      <c r="K138" s="82"/>
      <c r="L138" s="82"/>
    </row>
    <row r="139" spans="1:12" s="835" customFormat="1" ht="12" x14ac:dyDescent="0.2">
      <c r="A139" s="841"/>
      <c r="B139" s="921" t="s">
        <v>328</v>
      </c>
      <c r="C139" s="915">
        <v>3235</v>
      </c>
      <c r="D139" s="53"/>
      <c r="E139" s="53"/>
      <c r="F139" s="81"/>
      <c r="G139" s="81"/>
      <c r="H139" s="53"/>
      <c r="I139" s="82"/>
      <c r="J139" s="82"/>
      <c r="K139" s="82"/>
      <c r="L139" s="82"/>
    </row>
    <row r="140" spans="1:12" s="835" customFormat="1" ht="12" x14ac:dyDescent="0.2">
      <c r="A140" s="841"/>
      <c r="B140" s="924" t="s">
        <v>329</v>
      </c>
      <c r="C140" s="915">
        <v>3240</v>
      </c>
      <c r="D140" s="53"/>
      <c r="E140" s="53"/>
      <c r="F140" s="81"/>
      <c r="G140" s="81"/>
      <c r="H140" s="53"/>
      <c r="I140" s="82"/>
      <c r="J140" s="82"/>
      <c r="K140" s="82"/>
      <c r="L140" s="82"/>
    </row>
    <row r="141" spans="1:12" s="835" customFormat="1" ht="12" x14ac:dyDescent="0.2">
      <c r="A141" s="841"/>
      <c r="B141" s="921" t="s">
        <v>330</v>
      </c>
      <c r="C141" s="915">
        <v>3270</v>
      </c>
      <c r="D141" s="53"/>
      <c r="E141" s="53"/>
      <c r="F141" s="81"/>
      <c r="G141" s="81"/>
      <c r="H141" s="53"/>
      <c r="I141" s="82"/>
      <c r="J141" s="82"/>
      <c r="K141" s="82"/>
      <c r="L141" s="82"/>
    </row>
    <row r="142" spans="1:12" s="835" customFormat="1" ht="12" x14ac:dyDescent="0.2">
      <c r="A142" s="841">
        <v>3299</v>
      </c>
      <c r="B142" s="921" t="s">
        <v>841</v>
      </c>
      <c r="C142" s="915">
        <v>3299</v>
      </c>
      <c r="D142" s="53"/>
      <c r="E142" s="53"/>
      <c r="F142" s="81"/>
      <c r="G142" s="81"/>
      <c r="H142" s="53"/>
      <c r="I142" s="82"/>
      <c r="J142" s="82"/>
      <c r="K142" s="82"/>
      <c r="L142" s="82"/>
    </row>
    <row r="143" spans="1:12" s="835" customFormat="1" thickBot="1" x14ac:dyDescent="0.25">
      <c r="A143" s="841"/>
      <c r="B143" s="919" t="s">
        <v>93</v>
      </c>
      <c r="C143" s="922"/>
      <c r="D143" s="84">
        <f>SUM(D136:D142)</f>
        <v>116500</v>
      </c>
      <c r="E143" s="84">
        <f>SUM(E136:E142)</f>
        <v>0</v>
      </c>
      <c r="F143" s="81"/>
      <c r="G143" s="81"/>
      <c r="H143" s="84">
        <f>SUM(H136:H142)</f>
        <v>0</v>
      </c>
      <c r="I143" s="82"/>
      <c r="J143" s="82"/>
      <c r="K143" s="82"/>
      <c r="L143" s="82"/>
    </row>
    <row r="144" spans="1:12" s="835" customFormat="1" ht="15.75" customHeight="1" thickTop="1" x14ac:dyDescent="0.2">
      <c r="A144" s="841"/>
      <c r="B144" s="862" t="s">
        <v>455</v>
      </c>
      <c r="C144" s="923"/>
      <c r="D144" s="85"/>
      <c r="E144" s="86"/>
      <c r="F144" s="81"/>
      <c r="G144" s="81"/>
      <c r="H144" s="85"/>
      <c r="I144" s="82"/>
      <c r="J144" s="82"/>
      <c r="K144" s="82"/>
      <c r="L144" s="82"/>
    </row>
    <row r="145" spans="1:12" s="835" customFormat="1" ht="12" x14ac:dyDescent="0.2">
      <c r="A145" s="841"/>
      <c r="B145" s="921" t="s">
        <v>13</v>
      </c>
      <c r="C145" s="915">
        <v>3305</v>
      </c>
      <c r="D145" s="80"/>
      <c r="E145" s="81"/>
      <c r="F145" s="81"/>
      <c r="G145" s="81"/>
      <c r="H145" s="87"/>
      <c r="I145" s="82"/>
      <c r="J145" s="82"/>
      <c r="K145" s="82"/>
      <c r="L145" s="82"/>
    </row>
    <row r="146" spans="1:12" s="835" customFormat="1" ht="12" x14ac:dyDescent="0.2">
      <c r="A146" s="841"/>
      <c r="B146" s="921" t="s">
        <v>341</v>
      </c>
      <c r="C146" s="915">
        <v>3310</v>
      </c>
      <c r="D146" s="83"/>
      <c r="E146" s="81"/>
      <c r="F146" s="81"/>
      <c r="G146" s="81"/>
      <c r="H146" s="88"/>
      <c r="I146" s="82"/>
      <c r="J146" s="82"/>
      <c r="K146" s="82"/>
      <c r="L146" s="82"/>
    </row>
    <row r="147" spans="1:12" s="835" customFormat="1" thickBot="1" x14ac:dyDescent="0.25">
      <c r="A147" s="841"/>
      <c r="B147" s="919" t="s">
        <v>94</v>
      </c>
      <c r="C147" s="920"/>
      <c r="D147" s="84">
        <f>SUM(D145:D146)</f>
        <v>0</v>
      </c>
      <c r="E147" s="81"/>
      <c r="F147" s="81"/>
      <c r="G147" s="81"/>
      <c r="H147" s="84">
        <f>SUM(H145:H146)</f>
        <v>0</v>
      </c>
      <c r="I147" s="82"/>
      <c r="J147" s="82"/>
      <c r="K147" s="82"/>
      <c r="L147" s="82"/>
    </row>
    <row r="148" spans="1:12" s="835" customFormat="1" thickTop="1" x14ac:dyDescent="0.2">
      <c r="A148" s="841"/>
      <c r="B148" s="917" t="s">
        <v>111</v>
      </c>
      <c r="C148" s="918">
        <v>3360</v>
      </c>
      <c r="D148" s="691">
        <v>10000</v>
      </c>
      <c r="E148" s="81"/>
      <c r="F148" s="81"/>
      <c r="G148" s="81"/>
      <c r="H148" s="82"/>
      <c r="I148" s="82"/>
      <c r="J148" s="82"/>
      <c r="K148" s="82"/>
      <c r="L148" s="82"/>
    </row>
    <row r="149" spans="1:12" s="835" customFormat="1" ht="12" x14ac:dyDescent="0.2">
      <c r="A149" s="841"/>
      <c r="B149" s="916" t="s">
        <v>354</v>
      </c>
      <c r="C149" s="809">
        <v>3365</v>
      </c>
      <c r="D149" s="83"/>
      <c r="E149" s="83"/>
      <c r="F149" s="81"/>
      <c r="G149" s="81"/>
      <c r="H149" s="83"/>
      <c r="I149" s="82"/>
      <c r="J149" s="82"/>
      <c r="K149" s="82"/>
      <c r="L149" s="82"/>
    </row>
    <row r="150" spans="1:12" s="835" customFormat="1" ht="12" x14ac:dyDescent="0.2">
      <c r="A150" s="841"/>
      <c r="B150" s="914" t="s">
        <v>112</v>
      </c>
      <c r="C150" s="915">
        <v>3370</v>
      </c>
      <c r="D150" s="83">
        <v>15000</v>
      </c>
      <c r="E150" s="83"/>
      <c r="F150" s="81"/>
      <c r="G150" s="81"/>
      <c r="H150" s="82"/>
      <c r="I150" s="82"/>
      <c r="J150" s="82"/>
      <c r="K150" s="82"/>
      <c r="L150" s="82"/>
    </row>
    <row r="151" spans="1:12" s="835" customFormat="1" ht="12" x14ac:dyDescent="0.2">
      <c r="A151" s="841"/>
      <c r="B151" s="910" t="s">
        <v>14</v>
      </c>
      <c r="C151" s="912">
        <v>3410</v>
      </c>
      <c r="D151" s="83"/>
      <c r="E151" s="83"/>
      <c r="F151" s="83"/>
      <c r="G151" s="83"/>
      <c r="H151" s="83"/>
      <c r="I151" s="83"/>
      <c r="J151" s="83"/>
      <c r="K151" s="83"/>
      <c r="L151" s="83"/>
    </row>
    <row r="152" spans="1:12" s="835" customFormat="1" ht="12" x14ac:dyDescent="0.2">
      <c r="A152" s="841">
        <v>3499</v>
      </c>
      <c r="B152" s="910" t="s">
        <v>840</v>
      </c>
      <c r="C152" s="809">
        <v>3499</v>
      </c>
      <c r="D152" s="83"/>
      <c r="E152" s="83"/>
      <c r="F152" s="83"/>
      <c r="G152" s="83"/>
      <c r="H152" s="83"/>
      <c r="I152" s="83"/>
      <c r="J152" s="83"/>
      <c r="K152" s="83"/>
      <c r="L152" s="83"/>
    </row>
    <row r="153" spans="1:12" s="835" customFormat="1" ht="15.75" customHeight="1" x14ac:dyDescent="0.2">
      <c r="A153" s="841"/>
      <c r="B153" s="797" t="s">
        <v>456</v>
      </c>
      <c r="C153" s="913"/>
      <c r="D153" s="621"/>
      <c r="E153" s="621"/>
      <c r="F153" s="89"/>
      <c r="G153" s="621"/>
      <c r="H153" s="90"/>
      <c r="I153" s="90"/>
      <c r="J153" s="90"/>
      <c r="K153" s="90"/>
      <c r="L153" s="90"/>
    </row>
    <row r="154" spans="1:12" s="835" customFormat="1" ht="12" x14ac:dyDescent="0.2">
      <c r="A154" s="841"/>
      <c r="B154" s="910" t="s">
        <v>590</v>
      </c>
      <c r="C154" s="911">
        <v>3500</v>
      </c>
      <c r="D154" s="83"/>
      <c r="E154" s="83"/>
      <c r="F154" s="89"/>
      <c r="G154" s="83">
        <v>8000</v>
      </c>
      <c r="H154" s="83"/>
      <c r="I154" s="90"/>
      <c r="J154" s="90"/>
      <c r="K154" s="90"/>
      <c r="L154" s="90"/>
    </row>
    <row r="155" spans="1:12" s="835" customFormat="1" ht="12" x14ac:dyDescent="0.2">
      <c r="A155" s="841"/>
      <c r="B155" s="910" t="s">
        <v>413</v>
      </c>
      <c r="C155" s="912">
        <v>3510</v>
      </c>
      <c r="D155" s="83"/>
      <c r="E155" s="83"/>
      <c r="F155" s="89"/>
      <c r="G155" s="83">
        <v>400000</v>
      </c>
      <c r="H155" s="83"/>
      <c r="I155" s="90"/>
      <c r="J155" s="90"/>
      <c r="K155" s="90"/>
      <c r="L155" s="90"/>
    </row>
    <row r="156" spans="1:12" s="835" customFormat="1" ht="12" x14ac:dyDescent="0.2">
      <c r="A156" s="841">
        <v>3599</v>
      </c>
      <c r="B156" s="910" t="s">
        <v>839</v>
      </c>
      <c r="C156" s="912">
        <v>3599</v>
      </c>
      <c r="D156" s="83"/>
      <c r="E156" s="83"/>
      <c r="F156" s="89"/>
      <c r="G156" s="83"/>
      <c r="H156" s="83"/>
      <c r="I156" s="90"/>
      <c r="J156" s="90"/>
      <c r="K156" s="90"/>
      <c r="L156" s="90"/>
    </row>
    <row r="157" spans="1:12" s="835" customFormat="1" thickBot="1" x14ac:dyDescent="0.25">
      <c r="A157" s="841"/>
      <c r="B157" s="908" t="s">
        <v>101</v>
      </c>
      <c r="C157" s="909"/>
      <c r="D157" s="91">
        <f>SUM(D154:D156)</f>
        <v>0</v>
      </c>
      <c r="E157" s="91">
        <f>SUM(E154:E156)</f>
        <v>0</v>
      </c>
      <c r="F157" s="89"/>
      <c r="G157" s="91">
        <f>SUM(G154:G156)</f>
        <v>408000</v>
      </c>
      <c r="H157" s="91">
        <f>SUM(H154:H156)</f>
        <v>0</v>
      </c>
      <c r="I157" s="90"/>
      <c r="J157" s="90"/>
      <c r="K157" s="90"/>
      <c r="L157" s="90"/>
    </row>
    <row r="158" spans="1:12" s="835" customFormat="1" thickTop="1" x14ac:dyDescent="0.2">
      <c r="A158" s="841"/>
      <c r="B158" s="901" t="s">
        <v>369</v>
      </c>
      <c r="C158" s="902">
        <v>3610</v>
      </c>
      <c r="D158" s="691"/>
      <c r="E158" s="89"/>
      <c r="F158" s="89"/>
      <c r="G158" s="89"/>
      <c r="H158" s="90"/>
      <c r="I158" s="90"/>
      <c r="J158" s="90"/>
      <c r="K158" s="90"/>
      <c r="L158" s="90"/>
    </row>
    <row r="159" spans="1:12" s="835" customFormat="1" ht="12" x14ac:dyDescent="0.2">
      <c r="A159" s="841"/>
      <c r="B159" s="903" t="s">
        <v>227</v>
      </c>
      <c r="C159" s="809">
        <v>3660</v>
      </c>
      <c r="D159" s="83"/>
      <c r="E159" s="83"/>
      <c r="F159" s="89"/>
      <c r="G159" s="83"/>
      <c r="H159" s="83"/>
      <c r="I159" s="90"/>
      <c r="J159" s="90"/>
      <c r="K159" s="90"/>
      <c r="L159" s="90"/>
    </row>
    <row r="160" spans="1:12" s="835" customFormat="1" ht="12" x14ac:dyDescent="0.2">
      <c r="A160" s="841"/>
      <c r="B160" s="904" t="s">
        <v>370</v>
      </c>
      <c r="C160" s="809">
        <v>3695</v>
      </c>
      <c r="D160" s="83"/>
      <c r="E160" s="92"/>
      <c r="F160" s="92"/>
      <c r="G160" s="83"/>
      <c r="H160" s="83"/>
      <c r="I160" s="93"/>
      <c r="J160" s="93"/>
      <c r="K160" s="93"/>
      <c r="L160" s="93"/>
    </row>
    <row r="161" spans="1:12" s="835" customFormat="1" ht="12" x14ac:dyDescent="0.2">
      <c r="A161" s="841"/>
      <c r="B161" s="905" t="s">
        <v>371</v>
      </c>
      <c r="C161" s="906">
        <v>3705</v>
      </c>
      <c r="D161" s="83"/>
      <c r="E161" s="83"/>
      <c r="F161" s="92"/>
      <c r="G161" s="83"/>
      <c r="H161" s="83"/>
      <c r="I161" s="93"/>
      <c r="J161" s="93"/>
      <c r="K161" s="93"/>
      <c r="L161" s="93"/>
    </row>
    <row r="162" spans="1:12" s="835" customFormat="1" ht="12" x14ac:dyDescent="0.2">
      <c r="A162" s="841"/>
      <c r="B162" s="905" t="s">
        <v>400</v>
      </c>
      <c r="C162" s="906">
        <v>3766</v>
      </c>
      <c r="D162" s="83"/>
      <c r="E162" s="83"/>
      <c r="F162" s="92"/>
      <c r="G162" s="83"/>
      <c r="H162" s="83"/>
      <c r="I162" s="93"/>
      <c r="J162" s="93"/>
      <c r="K162" s="93"/>
      <c r="L162" s="93"/>
    </row>
    <row r="163" spans="1:12" s="835" customFormat="1" ht="12" x14ac:dyDescent="0.2">
      <c r="A163" s="841"/>
      <c r="B163" s="905" t="s">
        <v>55</v>
      </c>
      <c r="C163" s="906">
        <v>3767</v>
      </c>
      <c r="D163" s="83"/>
      <c r="E163" s="83"/>
      <c r="F163" s="92"/>
      <c r="G163" s="83"/>
      <c r="H163" s="83"/>
      <c r="I163" s="93"/>
      <c r="J163" s="93"/>
      <c r="K163" s="93"/>
      <c r="L163" s="93"/>
    </row>
    <row r="164" spans="1:12" s="835" customFormat="1" ht="12" x14ac:dyDescent="0.2">
      <c r="A164" s="841"/>
      <c r="B164" s="905" t="s">
        <v>103</v>
      </c>
      <c r="C164" s="906">
        <v>3775</v>
      </c>
      <c r="D164" s="83"/>
      <c r="E164" s="83"/>
      <c r="F164" s="83"/>
      <c r="G164" s="83"/>
      <c r="H164" s="83"/>
      <c r="I164" s="83"/>
      <c r="J164" s="93"/>
      <c r="K164" s="93"/>
      <c r="L164" s="83"/>
    </row>
    <row r="165" spans="1:12" s="835" customFormat="1" ht="12" x14ac:dyDescent="0.2">
      <c r="A165" s="841"/>
      <c r="B165" s="905" t="s">
        <v>591</v>
      </c>
      <c r="C165" s="906">
        <v>3780</v>
      </c>
      <c r="D165" s="83"/>
      <c r="E165" s="83"/>
      <c r="F165" s="83"/>
      <c r="G165" s="83"/>
      <c r="H165" s="83"/>
      <c r="I165" s="83"/>
      <c r="J165" s="93"/>
      <c r="K165" s="93"/>
      <c r="L165" s="83"/>
    </row>
    <row r="166" spans="1:12" s="835" customFormat="1" ht="12" x14ac:dyDescent="0.2">
      <c r="A166" s="841"/>
      <c r="B166" s="899" t="s">
        <v>56</v>
      </c>
      <c r="C166" s="900">
        <v>3815</v>
      </c>
      <c r="D166" s="83"/>
      <c r="E166" s="94"/>
      <c r="F166" s="94"/>
      <c r="G166" s="83"/>
      <c r="H166" s="95"/>
      <c r="I166" s="95"/>
      <c r="J166" s="95"/>
      <c r="K166" s="95"/>
      <c r="L166" s="95"/>
    </row>
    <row r="167" spans="1:12" s="835" customFormat="1" ht="12" x14ac:dyDescent="0.2">
      <c r="A167" s="841"/>
      <c r="B167" s="899" t="s">
        <v>340</v>
      </c>
      <c r="C167" s="907">
        <v>3825</v>
      </c>
      <c r="D167" s="83"/>
      <c r="E167" s="94"/>
      <c r="F167" s="94"/>
      <c r="G167" s="83"/>
      <c r="H167" s="95"/>
      <c r="I167" s="95"/>
      <c r="J167" s="95"/>
      <c r="K167" s="95"/>
      <c r="L167" s="95"/>
    </row>
    <row r="168" spans="1:12" s="835" customFormat="1" ht="12" x14ac:dyDescent="0.2">
      <c r="A168" s="841"/>
      <c r="B168" s="897" t="s">
        <v>33</v>
      </c>
      <c r="C168" s="900">
        <v>3920</v>
      </c>
      <c r="D168" s="94"/>
      <c r="E168" s="83"/>
      <c r="F168" s="95"/>
      <c r="G168" s="95"/>
      <c r="H168" s="95"/>
      <c r="I168" s="83"/>
      <c r="J168" s="95"/>
      <c r="K168" s="95"/>
      <c r="L168" s="92"/>
    </row>
    <row r="169" spans="1:12" s="835" customFormat="1" ht="12" x14ac:dyDescent="0.2">
      <c r="A169" s="841"/>
      <c r="B169" s="899" t="s">
        <v>15</v>
      </c>
      <c r="C169" s="900">
        <v>3925</v>
      </c>
      <c r="D169" s="92"/>
      <c r="E169" s="83"/>
      <c r="F169" s="92"/>
      <c r="G169" s="92"/>
      <c r="H169" s="95"/>
      <c r="I169" s="83"/>
      <c r="J169" s="95"/>
      <c r="K169" s="95"/>
      <c r="L169" s="83"/>
    </row>
    <row r="170" spans="1:12" s="835" customFormat="1" thickBot="1" x14ac:dyDescent="0.25">
      <c r="A170" s="841">
        <v>3999</v>
      </c>
      <c r="B170" s="897" t="s">
        <v>3040</v>
      </c>
      <c r="C170" s="898">
        <v>3999</v>
      </c>
      <c r="D170" s="96">
        <v>3000</v>
      </c>
      <c r="E170" s="96"/>
      <c r="F170" s="96"/>
      <c r="G170" s="96"/>
      <c r="H170" s="96"/>
      <c r="I170" s="96"/>
      <c r="J170" s="96"/>
      <c r="K170" s="96"/>
      <c r="L170" s="96"/>
    </row>
    <row r="171" spans="1:12" s="835" customFormat="1" ht="13.5" thickTop="1" thickBot="1" x14ac:dyDescent="0.25">
      <c r="A171" s="841"/>
      <c r="B171" s="892" t="s">
        <v>95</v>
      </c>
      <c r="C171" s="834"/>
      <c r="D171" s="97">
        <f t="shared" ref="D171:L171" si="6">SUM(D134,D143,D147:D152,D157:D170)</f>
        <v>714500</v>
      </c>
      <c r="E171" s="97">
        <f t="shared" si="6"/>
        <v>0</v>
      </c>
      <c r="F171" s="97">
        <f t="shared" si="6"/>
        <v>0</v>
      </c>
      <c r="G171" s="97">
        <f t="shared" si="6"/>
        <v>408000</v>
      </c>
      <c r="H171" s="97">
        <f t="shared" si="6"/>
        <v>0</v>
      </c>
      <c r="I171" s="97">
        <f t="shared" si="6"/>
        <v>0</v>
      </c>
      <c r="J171" s="97">
        <f t="shared" si="6"/>
        <v>0</v>
      </c>
      <c r="K171" s="97">
        <f t="shared" si="6"/>
        <v>0</v>
      </c>
      <c r="L171" s="97">
        <f t="shared" si="6"/>
        <v>0</v>
      </c>
    </row>
    <row r="172" spans="1:12" s="835" customFormat="1" ht="13.5" thickTop="1" thickBot="1" x14ac:dyDescent="0.25">
      <c r="A172" s="841"/>
      <c r="B172" s="893" t="s">
        <v>442</v>
      </c>
      <c r="C172" s="894">
        <v>3000</v>
      </c>
      <c r="D172" s="98">
        <f t="shared" ref="D172:L172" si="7">SUM(D124,D171)</f>
        <v>3714500</v>
      </c>
      <c r="E172" s="98">
        <f t="shared" si="7"/>
        <v>0</v>
      </c>
      <c r="F172" s="98">
        <f t="shared" si="7"/>
        <v>0</v>
      </c>
      <c r="G172" s="98">
        <f t="shared" si="7"/>
        <v>408000</v>
      </c>
      <c r="H172" s="98">
        <f t="shared" si="7"/>
        <v>0</v>
      </c>
      <c r="I172" s="98">
        <f t="shared" si="7"/>
        <v>0</v>
      </c>
      <c r="J172" s="98">
        <f t="shared" si="7"/>
        <v>0</v>
      </c>
      <c r="K172" s="98">
        <f t="shared" si="7"/>
        <v>0</v>
      </c>
      <c r="L172" s="98">
        <f t="shared" si="7"/>
        <v>0</v>
      </c>
    </row>
    <row r="173" spans="1:12" s="835" customFormat="1" ht="16.7" customHeight="1" thickTop="1" x14ac:dyDescent="0.2">
      <c r="A173" s="841"/>
      <c r="B173" s="895" t="s">
        <v>632</v>
      </c>
      <c r="C173" s="896"/>
      <c r="D173" s="99"/>
      <c r="E173" s="99"/>
      <c r="F173" s="99"/>
      <c r="G173" s="99"/>
      <c r="H173" s="100"/>
      <c r="I173" s="100"/>
      <c r="J173" s="100"/>
      <c r="K173" s="100"/>
      <c r="L173" s="101"/>
    </row>
    <row r="174" spans="1:12" s="835" customFormat="1" ht="24" customHeight="1" x14ac:dyDescent="0.2">
      <c r="A174" s="841"/>
      <c r="B174" s="1726" t="s">
        <v>731</v>
      </c>
      <c r="C174" s="1727"/>
      <c r="D174" s="102"/>
      <c r="E174" s="103"/>
      <c r="F174" s="103"/>
      <c r="G174" s="103"/>
      <c r="H174" s="104"/>
      <c r="I174" s="104"/>
      <c r="J174" s="104"/>
      <c r="K174" s="104"/>
      <c r="L174" s="105"/>
    </row>
    <row r="175" spans="1:12" s="835" customFormat="1" ht="12" x14ac:dyDescent="0.2">
      <c r="A175" s="841"/>
      <c r="B175" s="881" t="s">
        <v>242</v>
      </c>
      <c r="C175" s="888">
        <v>4001</v>
      </c>
      <c r="D175" s="83"/>
      <c r="E175" s="83"/>
      <c r="F175" s="83"/>
      <c r="G175" s="83"/>
      <c r="H175" s="83"/>
      <c r="I175" s="83"/>
      <c r="J175" s="83"/>
      <c r="K175" s="83"/>
      <c r="L175" s="83"/>
    </row>
    <row r="176" spans="1:12" s="835" customFormat="1" ht="22.5" x14ac:dyDescent="0.2">
      <c r="A176" s="841">
        <v>4009</v>
      </c>
      <c r="B176" s="891" t="s">
        <v>838</v>
      </c>
      <c r="C176" s="890">
        <v>4009</v>
      </c>
      <c r="D176" s="80"/>
      <c r="E176" s="80"/>
      <c r="F176" s="80"/>
      <c r="G176" s="80"/>
      <c r="H176" s="80"/>
      <c r="I176" s="80"/>
      <c r="J176" s="80"/>
      <c r="K176" s="80"/>
      <c r="L176" s="80"/>
    </row>
    <row r="177" spans="1:12" s="835" customFormat="1" ht="13.5" thickBot="1" x14ac:dyDescent="0.25">
      <c r="A177" s="841"/>
      <c r="B177" s="1728" t="s">
        <v>342</v>
      </c>
      <c r="C177" s="1729"/>
      <c r="D177" s="108">
        <f>SUM(D175:D176)</f>
        <v>0</v>
      </c>
      <c r="E177" s="108">
        <f t="shared" ref="E177:L177" si="8">SUM(E175:E176)</f>
        <v>0</v>
      </c>
      <c r="F177" s="108">
        <f t="shared" si="8"/>
        <v>0</v>
      </c>
      <c r="G177" s="108">
        <f t="shared" si="8"/>
        <v>0</v>
      </c>
      <c r="H177" s="108">
        <f t="shared" si="8"/>
        <v>0</v>
      </c>
      <c r="I177" s="108">
        <f t="shared" si="8"/>
        <v>0</v>
      </c>
      <c r="J177" s="108">
        <f t="shared" si="8"/>
        <v>0</v>
      </c>
      <c r="K177" s="108">
        <f t="shared" si="8"/>
        <v>0</v>
      </c>
      <c r="L177" s="108">
        <f t="shared" si="8"/>
        <v>0</v>
      </c>
    </row>
    <row r="178" spans="1:12" s="835" customFormat="1" ht="22.5" customHeight="1" thickTop="1" x14ac:dyDescent="0.2">
      <c r="A178" s="841"/>
      <c r="B178" s="1726" t="s">
        <v>732</v>
      </c>
      <c r="C178" s="1727"/>
      <c r="D178" s="109"/>
      <c r="E178" s="110"/>
      <c r="F178" s="110"/>
      <c r="G178" s="110"/>
      <c r="H178" s="111"/>
      <c r="I178" s="111"/>
      <c r="J178" s="111"/>
      <c r="K178" s="111"/>
      <c r="L178" s="111"/>
    </row>
    <row r="179" spans="1:12" s="835" customFormat="1" ht="12" x14ac:dyDescent="0.2">
      <c r="A179" s="841"/>
      <c r="B179" s="887" t="s">
        <v>244</v>
      </c>
      <c r="C179" s="888">
        <v>4045</v>
      </c>
      <c r="D179" s="106"/>
      <c r="E179" s="110"/>
      <c r="F179" s="110"/>
      <c r="G179" s="110"/>
      <c r="H179" s="111"/>
      <c r="I179" s="111"/>
      <c r="J179" s="111"/>
      <c r="K179" s="111"/>
      <c r="L179" s="111"/>
    </row>
    <row r="180" spans="1:12" s="835" customFormat="1" ht="12" x14ac:dyDescent="0.2">
      <c r="A180" s="841"/>
      <c r="B180" s="887" t="s">
        <v>245</v>
      </c>
      <c r="C180" s="888">
        <v>4050</v>
      </c>
      <c r="D180" s="83"/>
      <c r="E180" s="83"/>
      <c r="F180" s="110"/>
      <c r="G180" s="110"/>
      <c r="H180" s="111"/>
      <c r="I180" s="107"/>
      <c r="J180" s="111"/>
      <c r="K180" s="111"/>
      <c r="L180" s="111"/>
    </row>
    <row r="181" spans="1:12" s="835" customFormat="1" ht="12" x14ac:dyDescent="0.2">
      <c r="A181" s="841"/>
      <c r="B181" s="887" t="s">
        <v>246</v>
      </c>
      <c r="C181" s="888">
        <v>4060</v>
      </c>
      <c r="D181" s="83"/>
      <c r="E181" s="83"/>
      <c r="F181" s="884"/>
      <c r="G181" s="83"/>
      <c r="H181" s="83"/>
      <c r="I181" s="83"/>
      <c r="J181" s="111"/>
      <c r="K181" s="111"/>
      <c r="L181" s="112"/>
    </row>
    <row r="182" spans="1:12" s="835" customFormat="1" ht="22.5" x14ac:dyDescent="0.2">
      <c r="A182" s="841">
        <v>4090</v>
      </c>
      <c r="B182" s="889" t="s">
        <v>3078</v>
      </c>
      <c r="C182" s="890">
        <v>4090</v>
      </c>
      <c r="D182" s="83"/>
      <c r="E182" s="83"/>
      <c r="F182" s="884"/>
      <c r="G182" s="83"/>
      <c r="H182" s="83"/>
      <c r="I182" s="83"/>
      <c r="J182" s="111"/>
      <c r="K182" s="111"/>
      <c r="L182" s="107"/>
    </row>
    <row r="183" spans="1:12" s="835" customFormat="1" thickBot="1" x14ac:dyDescent="0.25">
      <c r="A183" s="841"/>
      <c r="B183" s="1558" t="s">
        <v>691</v>
      </c>
      <c r="C183" s="883"/>
      <c r="D183" s="108">
        <f>SUM(D179:D182)</f>
        <v>0</v>
      </c>
      <c r="E183" s="108">
        <f>SUM(E179:E182)</f>
        <v>0</v>
      </c>
      <c r="F183" s="884"/>
      <c r="G183" s="108">
        <f>SUM(G179:G182)</f>
        <v>0</v>
      </c>
      <c r="H183" s="108">
        <f>SUM(H179:H182)</f>
        <v>0</v>
      </c>
      <c r="I183" s="108">
        <f>SUM(I179:I182)</f>
        <v>0</v>
      </c>
      <c r="J183" s="111"/>
      <c r="K183" s="111"/>
      <c r="L183" s="108">
        <f>SUM(L179:L182)</f>
        <v>0</v>
      </c>
    </row>
    <row r="184" spans="1:12" s="835" customFormat="1" ht="22.5" customHeight="1" thickTop="1" x14ac:dyDescent="0.2">
      <c r="A184" s="841"/>
      <c r="B184" s="1730" t="s">
        <v>733</v>
      </c>
      <c r="C184" s="1731"/>
      <c r="D184" s="110"/>
      <c r="E184" s="110"/>
      <c r="F184" s="884"/>
      <c r="G184" s="110"/>
      <c r="H184" s="111"/>
      <c r="I184" s="111"/>
      <c r="J184" s="111"/>
      <c r="K184" s="111"/>
      <c r="L184" s="111"/>
    </row>
    <row r="185" spans="1:12" s="835" customFormat="1" ht="15.75" customHeight="1" x14ac:dyDescent="0.2">
      <c r="A185" s="841"/>
      <c r="B185" s="885" t="s">
        <v>661</v>
      </c>
      <c r="C185" s="886"/>
      <c r="D185" s="110"/>
      <c r="E185" s="110"/>
      <c r="F185" s="884"/>
      <c r="G185" s="110"/>
      <c r="H185" s="111"/>
      <c r="I185" s="111"/>
      <c r="J185" s="111"/>
      <c r="K185" s="111"/>
      <c r="L185" s="111"/>
    </row>
    <row r="186" spans="1:12" s="835" customFormat="1" ht="12" x14ac:dyDescent="0.2">
      <c r="A186" s="841"/>
      <c r="B186" s="881" t="s">
        <v>662</v>
      </c>
      <c r="C186" s="882">
        <v>4100</v>
      </c>
      <c r="D186" s="83"/>
      <c r="E186" s="83"/>
      <c r="F186" s="110"/>
      <c r="G186" s="83"/>
      <c r="H186" s="83"/>
      <c r="I186" s="111"/>
      <c r="J186" s="111"/>
      <c r="K186" s="111"/>
      <c r="L186" s="111"/>
    </row>
    <row r="187" spans="1:12" s="835" customFormat="1" ht="12" x14ac:dyDescent="0.2">
      <c r="A187" s="841"/>
      <c r="B187" s="881" t="s">
        <v>663</v>
      </c>
      <c r="C187" s="795" t="s">
        <v>513</v>
      </c>
      <c r="D187" s="83"/>
      <c r="E187" s="83"/>
      <c r="F187" s="110"/>
      <c r="G187" s="83"/>
      <c r="H187" s="83"/>
      <c r="I187" s="111"/>
      <c r="J187" s="111"/>
      <c r="K187" s="111"/>
      <c r="L187" s="111"/>
    </row>
    <row r="188" spans="1:12" s="835" customFormat="1" ht="12" x14ac:dyDescent="0.2">
      <c r="A188" s="841"/>
      <c r="B188" s="881" t="s">
        <v>664</v>
      </c>
      <c r="C188" s="795" t="s">
        <v>514</v>
      </c>
      <c r="D188" s="83"/>
      <c r="E188" s="83"/>
      <c r="F188" s="110"/>
      <c r="G188" s="83"/>
      <c r="H188" s="83"/>
      <c r="I188" s="111"/>
      <c r="J188" s="111"/>
      <c r="K188" s="111"/>
      <c r="L188" s="111"/>
    </row>
    <row r="189" spans="1:12" s="835" customFormat="1" ht="12" x14ac:dyDescent="0.2">
      <c r="A189" s="841">
        <v>4199</v>
      </c>
      <c r="B189" s="881" t="s">
        <v>837</v>
      </c>
      <c r="C189" s="795" t="s">
        <v>515</v>
      </c>
      <c r="D189" s="83"/>
      <c r="E189" s="83"/>
      <c r="F189" s="110"/>
      <c r="G189" s="83"/>
      <c r="H189" s="83"/>
      <c r="I189" s="111"/>
      <c r="J189" s="111"/>
      <c r="K189" s="111"/>
      <c r="L189" s="111"/>
    </row>
    <row r="190" spans="1:12" s="835" customFormat="1" thickBot="1" x14ac:dyDescent="0.25">
      <c r="A190" s="841"/>
      <c r="B190" s="878" t="s">
        <v>665</v>
      </c>
      <c r="C190" s="879"/>
      <c r="D190" s="108">
        <f>SUM(D186:D189)</f>
        <v>0</v>
      </c>
      <c r="E190" s="108">
        <f>SUM(E186:E189)</f>
        <v>0</v>
      </c>
      <c r="F190" s="110"/>
      <c r="G190" s="108">
        <f>SUM(G186:G189)</f>
        <v>0</v>
      </c>
      <c r="H190" s="108">
        <f>SUM(H186:H189)</f>
        <v>0</v>
      </c>
      <c r="I190" s="111"/>
      <c r="J190" s="111"/>
      <c r="K190" s="111"/>
      <c r="L190" s="111"/>
    </row>
    <row r="191" spans="1:12" s="835" customFormat="1" ht="15.75" customHeight="1" thickTop="1" x14ac:dyDescent="0.2">
      <c r="A191" s="841"/>
      <c r="B191" s="862" t="s">
        <v>509</v>
      </c>
      <c r="C191" s="880"/>
      <c r="D191" s="113"/>
      <c r="E191" s="110"/>
      <c r="F191" s="110"/>
      <c r="G191" s="110"/>
      <c r="H191" s="110"/>
      <c r="I191" s="111"/>
      <c r="J191" s="111"/>
      <c r="K191" s="111"/>
      <c r="L191" s="111"/>
    </row>
    <row r="192" spans="1:12" s="835" customFormat="1" ht="12" x14ac:dyDescent="0.2">
      <c r="A192" s="841"/>
      <c r="B192" s="877" t="s">
        <v>592</v>
      </c>
      <c r="C192" s="800" t="s">
        <v>457</v>
      </c>
      <c r="D192" s="83"/>
      <c r="E192" s="110"/>
      <c r="F192" s="110"/>
      <c r="G192" s="110"/>
      <c r="H192" s="83"/>
      <c r="I192" s="111"/>
      <c r="J192" s="111"/>
      <c r="K192" s="111"/>
      <c r="L192" s="111"/>
    </row>
    <row r="193" spans="1:12" s="835" customFormat="1" ht="12" x14ac:dyDescent="0.2">
      <c r="A193" s="841"/>
      <c r="B193" s="124" t="s">
        <v>356</v>
      </c>
      <c r="C193" s="875">
        <v>4210</v>
      </c>
      <c r="D193" s="83">
        <v>800000</v>
      </c>
      <c r="E193" s="114"/>
      <c r="F193" s="114"/>
      <c r="G193" s="114"/>
      <c r="H193" s="83"/>
      <c r="I193" s="115"/>
      <c r="J193" s="115"/>
      <c r="K193" s="115"/>
      <c r="L193" s="115"/>
    </row>
    <row r="194" spans="1:12" s="835" customFormat="1" ht="12" x14ac:dyDescent="0.2">
      <c r="A194" s="841"/>
      <c r="B194" s="124" t="s">
        <v>69</v>
      </c>
      <c r="C194" s="875">
        <v>4215</v>
      </c>
      <c r="D194" s="83"/>
      <c r="E194" s="114"/>
      <c r="F194" s="114"/>
      <c r="G194" s="114"/>
      <c r="H194" s="83"/>
      <c r="I194" s="115"/>
      <c r="J194" s="115"/>
      <c r="K194" s="115"/>
      <c r="L194" s="115"/>
    </row>
    <row r="195" spans="1:12" s="835" customFormat="1" ht="12" x14ac:dyDescent="0.2">
      <c r="A195" s="841"/>
      <c r="B195" s="124" t="s">
        <v>70</v>
      </c>
      <c r="C195" s="875">
        <v>4220</v>
      </c>
      <c r="D195" s="83">
        <v>100000</v>
      </c>
      <c r="E195" s="114"/>
      <c r="F195" s="114"/>
      <c r="G195" s="114"/>
      <c r="H195" s="83"/>
      <c r="I195" s="115"/>
      <c r="J195" s="115"/>
      <c r="K195" s="115"/>
      <c r="L195" s="115"/>
    </row>
    <row r="196" spans="1:12" s="835" customFormat="1" ht="12" x14ac:dyDescent="0.2">
      <c r="A196" s="841"/>
      <c r="B196" s="124" t="s">
        <v>16</v>
      </c>
      <c r="C196" s="875">
        <v>4225</v>
      </c>
      <c r="D196" s="83">
        <v>100000</v>
      </c>
      <c r="E196" s="114"/>
      <c r="F196" s="114"/>
      <c r="G196" s="114"/>
      <c r="H196" s="83"/>
      <c r="I196" s="115"/>
      <c r="J196" s="115"/>
      <c r="K196" s="115"/>
      <c r="L196" s="115"/>
    </row>
    <row r="197" spans="1:12" s="835" customFormat="1" ht="12" x14ac:dyDescent="0.2">
      <c r="A197" s="841"/>
      <c r="B197" s="124" t="s">
        <v>593</v>
      </c>
      <c r="C197" s="875">
        <v>4226</v>
      </c>
      <c r="D197" s="83">
        <v>77000</v>
      </c>
      <c r="E197" s="114"/>
      <c r="F197" s="114"/>
      <c r="G197" s="114"/>
      <c r="H197" s="83"/>
      <c r="I197" s="115"/>
      <c r="J197" s="115"/>
      <c r="K197" s="115"/>
      <c r="L197" s="115"/>
    </row>
    <row r="198" spans="1:12" s="835" customFormat="1" ht="12" x14ac:dyDescent="0.2">
      <c r="A198" s="841"/>
      <c r="B198" s="124" t="s">
        <v>35</v>
      </c>
      <c r="C198" s="875">
        <v>4240</v>
      </c>
      <c r="D198" s="83"/>
      <c r="E198" s="114"/>
      <c r="F198" s="114"/>
      <c r="G198" s="114"/>
      <c r="H198" s="117"/>
      <c r="I198" s="115"/>
      <c r="J198" s="115"/>
      <c r="K198" s="115"/>
      <c r="L198" s="115"/>
    </row>
    <row r="199" spans="1:12" s="835" customFormat="1" ht="12" x14ac:dyDescent="0.2">
      <c r="A199" s="841">
        <v>4299</v>
      </c>
      <c r="B199" s="124" t="s">
        <v>836</v>
      </c>
      <c r="C199" s="875">
        <v>4299</v>
      </c>
      <c r="D199" s="83"/>
      <c r="E199" s="114"/>
      <c r="F199" s="114"/>
      <c r="G199" s="114"/>
      <c r="H199" s="116"/>
      <c r="I199" s="115"/>
      <c r="J199" s="115"/>
      <c r="K199" s="115"/>
      <c r="L199" s="115"/>
    </row>
    <row r="200" spans="1:12" s="835" customFormat="1" thickBot="1" x14ac:dyDescent="0.25">
      <c r="A200" s="841"/>
      <c r="B200" s="119" t="s">
        <v>88</v>
      </c>
      <c r="C200" s="876"/>
      <c r="D200" s="108">
        <f>SUM(D192:D199)</f>
        <v>1077000</v>
      </c>
      <c r="E200" s="114"/>
      <c r="F200" s="114"/>
      <c r="G200" s="114"/>
      <c r="H200" s="118">
        <f>SUM(H192:H199)</f>
        <v>0</v>
      </c>
      <c r="I200" s="115"/>
      <c r="J200" s="115"/>
      <c r="K200" s="115"/>
      <c r="L200" s="115"/>
    </row>
    <row r="201" spans="1:12" s="835" customFormat="1" ht="15.75" customHeight="1" thickTop="1" x14ac:dyDescent="0.2">
      <c r="A201" s="841"/>
      <c r="B201" s="862" t="s">
        <v>458</v>
      </c>
      <c r="C201" s="122"/>
      <c r="D201" s="110"/>
      <c r="E201" s="114"/>
      <c r="F201" s="114"/>
      <c r="G201" s="114"/>
      <c r="H201" s="115"/>
      <c r="I201" s="115"/>
      <c r="J201" s="115"/>
      <c r="K201" s="115"/>
      <c r="L201" s="115"/>
    </row>
    <row r="202" spans="1:12" s="835" customFormat="1" ht="12" x14ac:dyDescent="0.2">
      <c r="A202" s="841"/>
      <c r="B202" s="124" t="s">
        <v>73</v>
      </c>
      <c r="C202" s="875">
        <v>4300</v>
      </c>
      <c r="D202" s="116">
        <v>289000</v>
      </c>
      <c r="E202" s="116"/>
      <c r="F202" s="114"/>
      <c r="G202" s="116"/>
      <c r="H202" s="116"/>
      <c r="I202" s="115"/>
      <c r="J202" s="115"/>
      <c r="K202" s="115"/>
      <c r="L202" s="115"/>
    </row>
    <row r="203" spans="1:12" s="835" customFormat="1" ht="12" x14ac:dyDescent="0.2">
      <c r="A203" s="841"/>
      <c r="B203" s="124" t="s">
        <v>74</v>
      </c>
      <c r="C203" s="875">
        <v>4305</v>
      </c>
      <c r="D203" s="116"/>
      <c r="E203" s="116"/>
      <c r="F203" s="114"/>
      <c r="G203" s="116"/>
      <c r="H203" s="116"/>
      <c r="I203" s="115"/>
      <c r="J203" s="115"/>
      <c r="K203" s="115"/>
      <c r="L203" s="115"/>
    </row>
    <row r="204" spans="1:12" s="835" customFormat="1" ht="12" x14ac:dyDescent="0.2">
      <c r="A204" s="841"/>
      <c r="B204" s="124" t="s">
        <v>495</v>
      </c>
      <c r="C204" s="875">
        <v>4340</v>
      </c>
      <c r="D204" s="116"/>
      <c r="E204" s="116"/>
      <c r="F204" s="114"/>
      <c r="G204" s="116"/>
      <c r="H204" s="116"/>
      <c r="I204" s="115"/>
      <c r="J204" s="115"/>
      <c r="K204" s="115"/>
      <c r="L204" s="115"/>
    </row>
    <row r="205" spans="1:12" s="835" customFormat="1" ht="12" x14ac:dyDescent="0.2">
      <c r="A205" s="841">
        <v>4399</v>
      </c>
      <c r="B205" s="124" t="s">
        <v>835</v>
      </c>
      <c r="C205" s="875">
        <v>4399</v>
      </c>
      <c r="D205" s="116"/>
      <c r="E205" s="116"/>
      <c r="F205" s="114"/>
      <c r="G205" s="116"/>
      <c r="H205" s="116"/>
      <c r="I205" s="115"/>
      <c r="J205" s="115"/>
      <c r="K205" s="115"/>
      <c r="L205" s="115"/>
    </row>
    <row r="206" spans="1:12" s="835" customFormat="1" thickBot="1" x14ac:dyDescent="0.25">
      <c r="A206" s="841"/>
      <c r="B206" s="119" t="s">
        <v>96</v>
      </c>
      <c r="C206" s="120"/>
      <c r="D206" s="121">
        <f>SUM(D202:D205)</f>
        <v>289000</v>
      </c>
      <c r="E206" s="121">
        <f>SUM(E202:E205)</f>
        <v>0</v>
      </c>
      <c r="F206" s="114"/>
      <c r="G206" s="121">
        <f>SUM(G202:G205)</f>
        <v>0</v>
      </c>
      <c r="H206" s="121">
        <f>SUM(H202:H205)</f>
        <v>0</v>
      </c>
      <c r="I206" s="115"/>
      <c r="J206" s="115"/>
      <c r="K206" s="115"/>
      <c r="L206" s="115"/>
    </row>
    <row r="207" spans="1:12" s="835" customFormat="1" ht="15.75" customHeight="1" thickTop="1" x14ac:dyDescent="0.2">
      <c r="A207" s="841"/>
      <c r="B207" s="862" t="s">
        <v>459</v>
      </c>
      <c r="C207" s="122"/>
      <c r="D207" s="123"/>
      <c r="E207" s="123"/>
      <c r="F207" s="114"/>
      <c r="G207" s="123"/>
      <c r="H207" s="123"/>
      <c r="I207" s="115"/>
      <c r="J207" s="115"/>
      <c r="K207" s="115"/>
      <c r="L207" s="115"/>
    </row>
    <row r="208" spans="1:12" s="835" customFormat="1" ht="12" x14ac:dyDescent="0.2">
      <c r="A208" s="841"/>
      <c r="B208" s="124" t="s">
        <v>652</v>
      </c>
      <c r="C208" s="875">
        <v>4400</v>
      </c>
      <c r="D208" s="116"/>
      <c r="E208" s="116"/>
      <c r="F208" s="114"/>
      <c r="G208" s="116"/>
      <c r="H208" s="116"/>
      <c r="I208" s="115"/>
      <c r="J208" s="115"/>
      <c r="K208" s="115"/>
      <c r="L208" s="115"/>
    </row>
    <row r="209" spans="1:12" s="835" customFormat="1" ht="12" x14ac:dyDescent="0.2">
      <c r="A209" s="841"/>
      <c r="B209" s="846" t="s">
        <v>666</v>
      </c>
      <c r="C209" s="809">
        <v>4421</v>
      </c>
      <c r="D209" s="116"/>
      <c r="E209" s="116"/>
      <c r="F209" s="114"/>
      <c r="G209" s="116"/>
      <c r="H209" s="116"/>
      <c r="I209" s="115"/>
      <c r="J209" s="115"/>
      <c r="K209" s="115"/>
      <c r="L209" s="115"/>
    </row>
    <row r="210" spans="1:12" s="835" customFormat="1" ht="12" x14ac:dyDescent="0.2">
      <c r="A210" s="841">
        <v>4499</v>
      </c>
      <c r="B210" s="124" t="s">
        <v>834</v>
      </c>
      <c r="C210" s="875">
        <v>4499</v>
      </c>
      <c r="D210" s="116"/>
      <c r="E210" s="116"/>
      <c r="F210" s="114"/>
      <c r="G210" s="116"/>
      <c r="H210" s="116"/>
      <c r="I210" s="115"/>
      <c r="J210" s="115"/>
      <c r="K210" s="115"/>
      <c r="L210" s="115"/>
    </row>
    <row r="211" spans="1:12" s="835" customFormat="1" thickBot="1" x14ac:dyDescent="0.25">
      <c r="A211" s="841"/>
      <c r="B211" s="871" t="s">
        <v>97</v>
      </c>
      <c r="C211" s="872"/>
      <c r="D211" s="125">
        <f>SUM(D208:D210)</f>
        <v>0</v>
      </c>
      <c r="E211" s="125">
        <f>SUM(E208:E210)</f>
        <v>0</v>
      </c>
      <c r="F211" s="126"/>
      <c r="G211" s="125">
        <f>SUM(G208:G210)</f>
        <v>0</v>
      </c>
      <c r="H211" s="125">
        <f>SUM(H208:H210)</f>
        <v>0</v>
      </c>
      <c r="I211" s="127"/>
      <c r="J211" s="127"/>
      <c r="K211" s="127"/>
      <c r="L211" s="127"/>
    </row>
    <row r="212" spans="1:12" s="835" customFormat="1" ht="15.75" customHeight="1" thickTop="1" x14ac:dyDescent="0.2">
      <c r="A212" s="841"/>
      <c r="B212" s="873" t="s">
        <v>453</v>
      </c>
      <c r="C212" s="874"/>
      <c r="D212" s="128"/>
      <c r="E212" s="128"/>
      <c r="F212" s="126"/>
      <c r="G212" s="128"/>
      <c r="H212" s="128"/>
      <c r="I212" s="127"/>
      <c r="J212" s="127"/>
      <c r="K212" s="127"/>
      <c r="L212" s="127"/>
    </row>
    <row r="213" spans="1:12" s="835" customFormat="1" ht="12" x14ac:dyDescent="0.2">
      <c r="A213" s="841"/>
      <c r="B213" s="864" t="s">
        <v>18</v>
      </c>
      <c r="C213" s="865" t="s">
        <v>355</v>
      </c>
      <c r="D213" s="116"/>
      <c r="E213" s="116"/>
      <c r="F213" s="126"/>
      <c r="G213" s="116"/>
      <c r="H213" s="116"/>
      <c r="I213" s="127"/>
      <c r="J213" s="127"/>
      <c r="K213" s="127"/>
      <c r="L213" s="127"/>
    </row>
    <row r="214" spans="1:12" s="835" customFormat="1" ht="12" x14ac:dyDescent="0.2">
      <c r="A214" s="841"/>
      <c r="B214" s="866" t="s">
        <v>17</v>
      </c>
      <c r="C214" s="867">
        <v>4605</v>
      </c>
      <c r="D214" s="116"/>
      <c r="E214" s="116"/>
      <c r="F214" s="126"/>
      <c r="G214" s="116"/>
      <c r="H214" s="116"/>
      <c r="I214" s="127"/>
      <c r="J214" s="127"/>
      <c r="K214" s="127"/>
      <c r="L214" s="127"/>
    </row>
    <row r="215" spans="1:12" s="835" customFormat="1" ht="12" x14ac:dyDescent="0.2">
      <c r="A215" s="841"/>
      <c r="B215" s="864" t="s">
        <v>594</v>
      </c>
      <c r="C215" s="867">
        <v>4620</v>
      </c>
      <c r="D215" s="116">
        <v>862000</v>
      </c>
      <c r="E215" s="116"/>
      <c r="F215" s="126"/>
      <c r="G215" s="116"/>
      <c r="H215" s="116"/>
      <c r="I215" s="127"/>
      <c r="J215" s="127"/>
      <c r="K215" s="127"/>
      <c r="L215" s="127"/>
    </row>
    <row r="216" spans="1:12" s="835" customFormat="1" ht="12" x14ac:dyDescent="0.2">
      <c r="A216" s="841"/>
      <c r="B216" s="868" t="s">
        <v>19</v>
      </c>
      <c r="C216" s="869">
        <v>4625</v>
      </c>
      <c r="D216" s="116">
        <v>850000</v>
      </c>
      <c r="E216" s="116"/>
      <c r="F216" s="129"/>
      <c r="G216" s="116"/>
      <c r="H216" s="116"/>
      <c r="I216" s="130"/>
      <c r="J216" s="130"/>
      <c r="K216" s="130"/>
      <c r="L216" s="130"/>
    </row>
    <row r="217" spans="1:12" s="835" customFormat="1" ht="12" x14ac:dyDescent="0.2">
      <c r="A217" s="841"/>
      <c r="B217" s="868" t="s">
        <v>20</v>
      </c>
      <c r="C217" s="869">
        <v>4630</v>
      </c>
      <c r="D217" s="116"/>
      <c r="E217" s="116"/>
      <c r="F217" s="129"/>
      <c r="G217" s="116"/>
      <c r="H217" s="116"/>
      <c r="I217" s="130"/>
      <c r="J217" s="130"/>
      <c r="K217" s="130"/>
      <c r="L217" s="130"/>
    </row>
    <row r="218" spans="1:12" s="835" customFormat="1" ht="12" x14ac:dyDescent="0.2">
      <c r="A218" s="841">
        <v>4699</v>
      </c>
      <c r="B218" s="870" t="s">
        <v>833</v>
      </c>
      <c r="C218" s="869">
        <v>4699</v>
      </c>
      <c r="D218" s="116"/>
      <c r="E218" s="116"/>
      <c r="F218" s="129"/>
      <c r="G218" s="116"/>
      <c r="H218" s="116"/>
      <c r="I218" s="130"/>
      <c r="J218" s="130"/>
      <c r="K218" s="130"/>
      <c r="L218" s="130"/>
    </row>
    <row r="219" spans="1:12" s="835" customFormat="1" thickBot="1" x14ac:dyDescent="0.25">
      <c r="A219" s="841"/>
      <c r="B219" s="860" t="s">
        <v>98</v>
      </c>
      <c r="C219" s="861"/>
      <c r="D219" s="131">
        <f>SUM(D213:D218)</f>
        <v>1712000</v>
      </c>
      <c r="E219" s="131">
        <f>SUM(E213:E218)</f>
        <v>0</v>
      </c>
      <c r="F219" s="129"/>
      <c r="G219" s="131">
        <f>SUM(G213:G218)</f>
        <v>0</v>
      </c>
      <c r="H219" s="131">
        <f>SUM(H213:H218)</f>
        <v>0</v>
      </c>
      <c r="I219" s="130"/>
      <c r="J219" s="130"/>
      <c r="K219" s="130"/>
      <c r="L219" s="130"/>
    </row>
    <row r="220" spans="1:12" s="835" customFormat="1" ht="15.75" customHeight="1" thickTop="1" x14ac:dyDescent="0.2">
      <c r="A220" s="841"/>
      <c r="B220" s="862" t="s">
        <v>350</v>
      </c>
      <c r="C220" s="863"/>
      <c r="D220" s="132"/>
      <c r="E220" s="132"/>
      <c r="F220" s="129"/>
      <c r="G220" s="129"/>
      <c r="H220" s="132"/>
      <c r="I220" s="130"/>
      <c r="J220" s="130"/>
      <c r="K220" s="130"/>
      <c r="L220" s="130"/>
    </row>
    <row r="221" spans="1:12" s="835" customFormat="1" ht="12" x14ac:dyDescent="0.2">
      <c r="A221" s="841"/>
      <c r="B221" s="842" t="s">
        <v>21</v>
      </c>
      <c r="C221" s="843">
        <v>4770</v>
      </c>
      <c r="D221" s="116">
        <v>62500</v>
      </c>
      <c r="E221" s="116"/>
      <c r="F221" s="133"/>
      <c r="G221" s="133"/>
      <c r="H221" s="116"/>
      <c r="I221" s="135"/>
      <c r="J221" s="135"/>
      <c r="K221" s="135"/>
      <c r="L221" s="135"/>
    </row>
    <row r="222" spans="1:12" s="835" customFormat="1" ht="12" x14ac:dyDescent="0.2">
      <c r="A222" s="841">
        <v>4799</v>
      </c>
      <c r="B222" s="842" t="s">
        <v>832</v>
      </c>
      <c r="C222" s="845">
        <v>4799</v>
      </c>
      <c r="D222" s="116"/>
      <c r="E222" s="116"/>
      <c r="F222" s="133"/>
      <c r="G222" s="133"/>
      <c r="H222" s="116"/>
      <c r="I222" s="135"/>
      <c r="J222" s="135"/>
      <c r="K222" s="135"/>
      <c r="L222" s="135"/>
    </row>
    <row r="223" spans="1:12" s="835" customFormat="1" thickBot="1" x14ac:dyDescent="0.25">
      <c r="A223" s="841"/>
      <c r="B223" s="858" t="s">
        <v>102</v>
      </c>
      <c r="C223" s="859"/>
      <c r="D223" s="136">
        <f>SUM(D221:D222)</f>
        <v>62500</v>
      </c>
      <c r="E223" s="136">
        <f>SUM(E221:E222)</f>
        <v>0</v>
      </c>
      <c r="F223" s="133"/>
      <c r="G223" s="133"/>
      <c r="H223" s="136">
        <f>SUM(H221:H222)</f>
        <v>0</v>
      </c>
      <c r="I223" s="135"/>
      <c r="J223" s="135"/>
      <c r="K223" s="135"/>
      <c r="L223" s="135"/>
    </row>
    <row r="224" spans="1:12" s="835" customFormat="1" thickTop="1" x14ac:dyDescent="0.2">
      <c r="A224" s="841"/>
      <c r="B224" s="856" t="s">
        <v>398</v>
      </c>
      <c r="C224" s="857">
        <v>4810</v>
      </c>
      <c r="D224" s="690"/>
      <c r="E224" s="690"/>
      <c r="F224" s="133"/>
      <c r="G224" s="133"/>
      <c r="H224" s="690"/>
      <c r="I224" s="135"/>
      <c r="J224" s="135"/>
      <c r="K224" s="135"/>
      <c r="L224" s="135"/>
    </row>
    <row r="225" spans="1:12" s="835" customFormat="1" ht="12" x14ac:dyDescent="0.2">
      <c r="A225" s="841"/>
      <c r="B225" s="856" t="s">
        <v>473</v>
      </c>
      <c r="C225" s="857">
        <v>4850</v>
      </c>
      <c r="D225" s="116"/>
      <c r="E225" s="116"/>
      <c r="F225" s="134"/>
      <c r="G225" s="134"/>
      <c r="H225" s="116"/>
      <c r="I225" s="134"/>
      <c r="J225" s="135"/>
      <c r="K225" s="134"/>
      <c r="L225" s="134"/>
    </row>
    <row r="226" spans="1:12" s="835" customFormat="1" ht="12" x14ac:dyDescent="0.2">
      <c r="A226" s="841"/>
      <c r="B226" s="856" t="s">
        <v>474</v>
      </c>
      <c r="C226" s="857">
        <v>4851</v>
      </c>
      <c r="D226" s="116"/>
      <c r="E226" s="116"/>
      <c r="F226" s="137"/>
      <c r="G226" s="134"/>
      <c r="H226" s="134"/>
      <c r="I226" s="137"/>
      <c r="J226" s="135"/>
      <c r="K226" s="137"/>
      <c r="L226" s="137"/>
    </row>
    <row r="227" spans="1:12" s="835" customFormat="1" ht="12" x14ac:dyDescent="0.2">
      <c r="A227" s="841"/>
      <c r="B227" s="856" t="s">
        <v>475</v>
      </c>
      <c r="C227" s="857">
        <v>4852</v>
      </c>
      <c r="D227" s="116"/>
      <c r="E227" s="116"/>
      <c r="F227" s="134"/>
      <c r="G227" s="134"/>
      <c r="H227" s="134"/>
      <c r="I227" s="134"/>
      <c r="J227" s="135"/>
      <c r="K227" s="134"/>
      <c r="L227" s="134"/>
    </row>
    <row r="228" spans="1:12" s="835" customFormat="1" ht="12" x14ac:dyDescent="0.2">
      <c r="A228" s="841"/>
      <c r="B228" s="856" t="s">
        <v>476</v>
      </c>
      <c r="C228" s="857">
        <v>4853</v>
      </c>
      <c r="D228" s="116"/>
      <c r="E228" s="116"/>
      <c r="F228" s="134"/>
      <c r="G228" s="134"/>
      <c r="H228" s="134"/>
      <c r="I228" s="134"/>
      <c r="J228" s="135"/>
      <c r="K228" s="134"/>
      <c r="L228" s="134"/>
    </row>
    <row r="229" spans="1:12" s="835" customFormat="1" ht="12" x14ac:dyDescent="0.2">
      <c r="A229" s="841"/>
      <c r="B229" s="856" t="s">
        <v>477</v>
      </c>
      <c r="C229" s="857">
        <v>4854</v>
      </c>
      <c r="D229" s="116"/>
      <c r="E229" s="116"/>
      <c r="F229" s="134"/>
      <c r="G229" s="134"/>
      <c r="H229" s="134"/>
      <c r="I229" s="134"/>
      <c r="J229" s="135"/>
      <c r="K229" s="134"/>
      <c r="L229" s="134"/>
    </row>
    <row r="230" spans="1:12" s="835" customFormat="1" ht="12" x14ac:dyDescent="0.2">
      <c r="A230" s="841"/>
      <c r="B230" s="856" t="s">
        <v>487</v>
      </c>
      <c r="C230" s="857">
        <v>4855</v>
      </c>
      <c r="D230" s="116"/>
      <c r="E230" s="116"/>
      <c r="F230" s="134"/>
      <c r="G230" s="134"/>
      <c r="H230" s="134"/>
      <c r="I230" s="134"/>
      <c r="J230" s="135"/>
      <c r="K230" s="134"/>
      <c r="L230" s="134"/>
    </row>
    <row r="231" spans="1:12" s="835" customFormat="1" ht="12" x14ac:dyDescent="0.2">
      <c r="A231" s="841"/>
      <c r="B231" s="856" t="s">
        <v>478</v>
      </c>
      <c r="C231" s="857">
        <v>4856</v>
      </c>
      <c r="D231" s="116"/>
      <c r="E231" s="116"/>
      <c r="F231" s="134"/>
      <c r="G231" s="134"/>
      <c r="H231" s="134"/>
      <c r="I231" s="134"/>
      <c r="J231" s="135"/>
      <c r="K231" s="134"/>
      <c r="L231" s="134"/>
    </row>
    <row r="232" spans="1:12" s="835" customFormat="1" ht="12" x14ac:dyDescent="0.2">
      <c r="A232" s="841"/>
      <c r="B232" s="856" t="s">
        <v>479</v>
      </c>
      <c r="C232" s="857">
        <v>4857</v>
      </c>
      <c r="D232" s="116"/>
      <c r="E232" s="116"/>
      <c r="F232" s="134"/>
      <c r="G232" s="134"/>
      <c r="H232" s="134"/>
      <c r="I232" s="134"/>
      <c r="J232" s="135"/>
      <c r="K232" s="134"/>
      <c r="L232" s="134"/>
    </row>
    <row r="233" spans="1:12" s="835" customFormat="1" ht="12" x14ac:dyDescent="0.2">
      <c r="A233" s="841"/>
      <c r="B233" s="856" t="s">
        <v>344</v>
      </c>
      <c r="C233" s="857">
        <v>4860</v>
      </c>
      <c r="D233" s="116"/>
      <c r="E233" s="116"/>
      <c r="F233" s="134"/>
      <c r="G233" s="134"/>
      <c r="H233" s="134"/>
      <c r="I233" s="134"/>
      <c r="J233" s="135"/>
      <c r="K233" s="134"/>
      <c r="L233" s="134"/>
    </row>
    <row r="234" spans="1:12" s="835" customFormat="1" ht="12" x14ac:dyDescent="0.2">
      <c r="A234" s="841"/>
      <c r="B234" s="856" t="s">
        <v>480</v>
      </c>
      <c r="C234" s="857">
        <v>4861</v>
      </c>
      <c r="D234" s="116"/>
      <c r="E234" s="116"/>
      <c r="F234" s="134"/>
      <c r="G234" s="134"/>
      <c r="H234" s="134"/>
      <c r="I234" s="134"/>
      <c r="J234" s="135"/>
      <c r="K234" s="134"/>
      <c r="L234" s="134"/>
    </row>
    <row r="235" spans="1:12" s="835" customFormat="1" ht="12" x14ac:dyDescent="0.2">
      <c r="A235" s="841"/>
      <c r="B235" s="855" t="s">
        <v>343</v>
      </c>
      <c r="C235" s="845">
        <v>4862</v>
      </c>
      <c r="D235" s="116"/>
      <c r="E235" s="116"/>
      <c r="F235" s="138"/>
      <c r="G235" s="139"/>
      <c r="H235" s="139"/>
      <c r="I235" s="138"/>
      <c r="J235" s="135"/>
      <c r="K235" s="138"/>
      <c r="L235" s="138"/>
    </row>
    <row r="236" spans="1:12" s="835" customFormat="1" ht="12" x14ac:dyDescent="0.2">
      <c r="A236" s="841"/>
      <c r="B236" s="855" t="s">
        <v>481</v>
      </c>
      <c r="C236" s="845">
        <v>4863</v>
      </c>
      <c r="D236" s="116"/>
      <c r="E236" s="116"/>
      <c r="F236" s="140"/>
      <c r="G236" s="138"/>
      <c r="H236" s="138"/>
      <c r="I236" s="140"/>
      <c r="J236" s="135"/>
      <c r="K236" s="140"/>
      <c r="L236" s="140"/>
    </row>
    <row r="237" spans="1:12" s="835" customFormat="1" ht="12" x14ac:dyDescent="0.2">
      <c r="A237" s="841"/>
      <c r="B237" s="855" t="s">
        <v>488</v>
      </c>
      <c r="C237" s="845">
        <v>4864</v>
      </c>
      <c r="D237" s="116"/>
      <c r="E237" s="116"/>
      <c r="F237" s="139"/>
      <c r="G237" s="139"/>
      <c r="H237" s="139"/>
      <c r="I237" s="139"/>
      <c r="J237" s="135"/>
      <c r="K237" s="139"/>
      <c r="L237" s="139"/>
    </row>
    <row r="238" spans="1:12" s="835" customFormat="1" ht="12" x14ac:dyDescent="0.2">
      <c r="A238" s="841"/>
      <c r="B238" s="855" t="s">
        <v>489</v>
      </c>
      <c r="C238" s="845">
        <v>4865</v>
      </c>
      <c r="D238" s="116"/>
      <c r="E238" s="116"/>
      <c r="F238" s="139"/>
      <c r="G238" s="139"/>
      <c r="H238" s="139"/>
      <c r="I238" s="139"/>
      <c r="J238" s="135"/>
      <c r="K238" s="139"/>
      <c r="L238" s="139"/>
    </row>
    <row r="239" spans="1:12" s="835" customFormat="1" ht="12" x14ac:dyDescent="0.2">
      <c r="A239" s="841"/>
      <c r="B239" s="855" t="s">
        <v>490</v>
      </c>
      <c r="C239" s="845">
        <v>4866</v>
      </c>
      <c r="D239" s="116"/>
      <c r="E239" s="116"/>
      <c r="F239" s="139"/>
      <c r="G239" s="139"/>
      <c r="H239" s="139"/>
      <c r="I239" s="139"/>
      <c r="J239" s="135"/>
      <c r="K239" s="139"/>
      <c r="L239" s="139"/>
    </row>
    <row r="240" spans="1:12" s="835" customFormat="1" ht="12" x14ac:dyDescent="0.2">
      <c r="A240" s="841"/>
      <c r="B240" s="855" t="s">
        <v>491</v>
      </c>
      <c r="C240" s="845">
        <v>4867</v>
      </c>
      <c r="D240" s="116"/>
      <c r="E240" s="116"/>
      <c r="F240" s="139"/>
      <c r="G240" s="139"/>
      <c r="H240" s="139"/>
      <c r="I240" s="139"/>
      <c r="J240" s="135"/>
      <c r="K240" s="139"/>
      <c r="L240" s="139"/>
    </row>
    <row r="241" spans="1:12" s="835" customFormat="1" ht="12" x14ac:dyDescent="0.2">
      <c r="A241" s="841"/>
      <c r="B241" s="855" t="s">
        <v>492</v>
      </c>
      <c r="C241" s="845">
        <v>4868</v>
      </c>
      <c r="D241" s="116"/>
      <c r="E241" s="116"/>
      <c r="F241" s="139"/>
      <c r="G241" s="139"/>
      <c r="H241" s="139"/>
      <c r="I241" s="139"/>
      <c r="J241" s="135"/>
      <c r="K241" s="139"/>
      <c r="L241" s="139"/>
    </row>
    <row r="242" spans="1:12" s="835" customFormat="1" ht="12" x14ac:dyDescent="0.2">
      <c r="A242" s="841"/>
      <c r="B242" s="855" t="s">
        <v>493</v>
      </c>
      <c r="C242" s="845">
        <v>4869</v>
      </c>
      <c r="D242" s="116"/>
      <c r="E242" s="116"/>
      <c r="F242" s="139"/>
      <c r="G242" s="139"/>
      <c r="H242" s="139"/>
      <c r="I242" s="139"/>
      <c r="J242" s="135"/>
      <c r="K242" s="139"/>
      <c r="L242" s="139"/>
    </row>
    <row r="243" spans="1:12" s="835" customFormat="1" ht="12" x14ac:dyDescent="0.2">
      <c r="A243" s="841"/>
      <c r="B243" s="855" t="s">
        <v>482</v>
      </c>
      <c r="C243" s="845">
        <v>4870</v>
      </c>
      <c r="D243" s="116"/>
      <c r="E243" s="116"/>
      <c r="F243" s="139"/>
      <c r="G243" s="139"/>
      <c r="H243" s="139"/>
      <c r="I243" s="139"/>
      <c r="J243" s="135"/>
      <c r="K243" s="139"/>
      <c r="L243" s="139"/>
    </row>
    <row r="244" spans="1:12" s="835" customFormat="1" ht="12" x14ac:dyDescent="0.2">
      <c r="A244" s="841"/>
      <c r="B244" s="855" t="s">
        <v>154</v>
      </c>
      <c r="C244" s="845">
        <v>4871</v>
      </c>
      <c r="D244" s="116"/>
      <c r="E244" s="116"/>
      <c r="F244" s="139"/>
      <c r="G244" s="139"/>
      <c r="H244" s="139"/>
      <c r="I244" s="139"/>
      <c r="J244" s="135"/>
      <c r="K244" s="139"/>
      <c r="L244" s="139"/>
    </row>
    <row r="245" spans="1:12" s="835" customFormat="1" ht="12" x14ac:dyDescent="0.2">
      <c r="A245" s="841"/>
      <c r="B245" s="855" t="s">
        <v>155</v>
      </c>
      <c r="C245" s="845">
        <v>4872</v>
      </c>
      <c r="D245" s="116"/>
      <c r="E245" s="116"/>
      <c r="F245" s="139"/>
      <c r="G245" s="139"/>
      <c r="H245" s="139"/>
      <c r="I245" s="139"/>
      <c r="J245" s="135"/>
      <c r="K245" s="139"/>
      <c r="L245" s="139"/>
    </row>
    <row r="246" spans="1:12" s="835" customFormat="1" ht="12" x14ac:dyDescent="0.2">
      <c r="A246" s="841"/>
      <c r="B246" s="855" t="s">
        <v>156</v>
      </c>
      <c r="C246" s="845">
        <v>4873</v>
      </c>
      <c r="D246" s="116"/>
      <c r="E246" s="116"/>
      <c r="F246" s="139"/>
      <c r="G246" s="139"/>
      <c r="H246" s="139"/>
      <c r="I246" s="139"/>
      <c r="J246" s="135"/>
      <c r="K246" s="139"/>
      <c r="L246" s="139"/>
    </row>
    <row r="247" spans="1:12" s="835" customFormat="1" ht="12" x14ac:dyDescent="0.2">
      <c r="A247" s="841"/>
      <c r="B247" s="855" t="s">
        <v>157</v>
      </c>
      <c r="C247" s="845">
        <v>4874</v>
      </c>
      <c r="D247" s="116"/>
      <c r="E247" s="116"/>
      <c r="F247" s="139"/>
      <c r="G247" s="139"/>
      <c r="H247" s="139"/>
      <c r="I247" s="139"/>
      <c r="J247" s="135"/>
      <c r="K247" s="139"/>
      <c r="L247" s="139"/>
    </row>
    <row r="248" spans="1:12" s="835" customFormat="1" ht="12" x14ac:dyDescent="0.2">
      <c r="A248" s="841"/>
      <c r="B248" s="855" t="s">
        <v>494</v>
      </c>
      <c r="C248" s="845">
        <v>4875</v>
      </c>
      <c r="D248" s="116"/>
      <c r="E248" s="116"/>
      <c r="F248" s="139"/>
      <c r="G248" s="139"/>
      <c r="H248" s="139"/>
      <c r="I248" s="139"/>
      <c r="J248" s="135"/>
      <c r="K248" s="139"/>
      <c r="L248" s="139"/>
    </row>
    <row r="249" spans="1:12" s="835" customFormat="1" ht="12" x14ac:dyDescent="0.2">
      <c r="A249" s="841"/>
      <c r="B249" s="855" t="s">
        <v>158</v>
      </c>
      <c r="C249" s="845">
        <v>4876</v>
      </c>
      <c r="D249" s="116"/>
      <c r="E249" s="116"/>
      <c r="F249" s="139"/>
      <c r="G249" s="139"/>
      <c r="H249" s="139"/>
      <c r="I249" s="139"/>
      <c r="J249" s="135"/>
      <c r="K249" s="139"/>
      <c r="L249" s="139"/>
    </row>
    <row r="250" spans="1:12" s="835" customFormat="1" ht="12" x14ac:dyDescent="0.2">
      <c r="A250" s="841"/>
      <c r="B250" s="855" t="s">
        <v>159</v>
      </c>
      <c r="C250" s="845">
        <v>4877</v>
      </c>
      <c r="D250" s="116"/>
      <c r="E250" s="116"/>
      <c r="F250" s="139"/>
      <c r="G250" s="139"/>
      <c r="H250" s="139"/>
      <c r="I250" s="139"/>
      <c r="J250" s="135"/>
      <c r="K250" s="139"/>
      <c r="L250" s="139"/>
    </row>
    <row r="251" spans="1:12" s="835" customFormat="1" ht="12" x14ac:dyDescent="0.2">
      <c r="A251" s="841"/>
      <c r="B251" s="855" t="s">
        <v>160</v>
      </c>
      <c r="C251" s="845">
        <v>4878</v>
      </c>
      <c r="D251" s="116"/>
      <c r="E251" s="116"/>
      <c r="F251" s="139"/>
      <c r="G251" s="139"/>
      <c r="H251" s="139"/>
      <c r="I251" s="139"/>
      <c r="J251" s="135"/>
      <c r="K251" s="139"/>
      <c r="L251" s="139"/>
    </row>
    <row r="252" spans="1:12" s="835" customFormat="1" ht="12" x14ac:dyDescent="0.2">
      <c r="A252" s="841"/>
      <c r="B252" s="855" t="s">
        <v>161</v>
      </c>
      <c r="C252" s="845">
        <v>4879</v>
      </c>
      <c r="D252" s="116"/>
      <c r="E252" s="116"/>
      <c r="F252" s="139"/>
      <c r="G252" s="139"/>
      <c r="H252" s="139"/>
      <c r="I252" s="139"/>
      <c r="J252" s="135"/>
      <c r="K252" s="139"/>
      <c r="L252" s="139"/>
    </row>
    <row r="253" spans="1:12" s="835" customFormat="1" ht="12" x14ac:dyDescent="0.2">
      <c r="A253" s="841"/>
      <c r="B253" s="855" t="s">
        <v>595</v>
      </c>
      <c r="C253" s="845">
        <v>4880</v>
      </c>
      <c r="D253" s="116"/>
      <c r="E253" s="116"/>
      <c r="F253" s="139"/>
      <c r="G253" s="139"/>
      <c r="H253" s="139"/>
      <c r="I253" s="139"/>
      <c r="J253" s="135"/>
      <c r="K253" s="139"/>
      <c r="L253" s="139"/>
    </row>
    <row r="254" spans="1:12" s="835" customFormat="1" thickBot="1" x14ac:dyDescent="0.25">
      <c r="A254" s="841"/>
      <c r="B254" s="853" t="s">
        <v>215</v>
      </c>
      <c r="C254" s="854"/>
      <c r="D254" s="136">
        <f t="shared" ref="D254:I254" si="9">SUM(D225:D253)</f>
        <v>0</v>
      </c>
      <c r="E254" s="136">
        <f t="shared" si="9"/>
        <v>0</v>
      </c>
      <c r="F254" s="136">
        <f t="shared" si="9"/>
        <v>0</v>
      </c>
      <c r="G254" s="136">
        <f t="shared" si="9"/>
        <v>0</v>
      </c>
      <c r="H254" s="136">
        <f t="shared" si="9"/>
        <v>0</v>
      </c>
      <c r="I254" s="136">
        <f t="shared" si="9"/>
        <v>0</v>
      </c>
      <c r="J254" s="135"/>
      <c r="K254" s="136">
        <f>SUM(K225:K253)</f>
        <v>0</v>
      </c>
      <c r="L254" s="136">
        <f>SUM(L225:L253)</f>
        <v>0</v>
      </c>
    </row>
    <row r="255" spans="1:12" s="835" customFormat="1" thickTop="1" x14ac:dyDescent="0.2">
      <c r="A255" s="841"/>
      <c r="B255" s="849" t="s">
        <v>579</v>
      </c>
      <c r="C255" s="850">
        <v>4901</v>
      </c>
      <c r="D255" s="674"/>
      <c r="E255" s="135"/>
      <c r="F255" s="135"/>
      <c r="G255" s="135"/>
      <c r="H255" s="135"/>
      <c r="I255" s="135"/>
      <c r="J255" s="135"/>
      <c r="K255" s="135"/>
      <c r="L255" s="135"/>
    </row>
    <row r="256" spans="1:12" s="835" customFormat="1" ht="12" x14ac:dyDescent="0.2">
      <c r="A256" s="841"/>
      <c r="B256" s="851" t="s">
        <v>598</v>
      </c>
      <c r="C256" s="852">
        <v>4902</v>
      </c>
      <c r="D256" s="673"/>
      <c r="E256" s="116"/>
      <c r="F256" s="135"/>
      <c r="G256" s="116"/>
      <c r="H256" s="116"/>
      <c r="I256" s="135"/>
      <c r="J256" s="135"/>
      <c r="K256" s="135"/>
      <c r="L256" s="135"/>
    </row>
    <row r="257" spans="1:12" s="835" customFormat="1" ht="12" x14ac:dyDescent="0.2">
      <c r="A257" s="841"/>
      <c r="B257" s="842" t="s">
        <v>671</v>
      </c>
      <c r="C257" s="845">
        <v>4905</v>
      </c>
      <c r="D257" s="116"/>
      <c r="E257" s="133"/>
      <c r="F257" s="133"/>
      <c r="G257" s="116"/>
      <c r="H257" s="116"/>
      <c r="I257" s="135"/>
      <c r="J257" s="135"/>
      <c r="K257" s="135"/>
      <c r="L257" s="135"/>
    </row>
    <row r="258" spans="1:12" s="835" customFormat="1" ht="12" x14ac:dyDescent="0.2">
      <c r="A258" s="841"/>
      <c r="B258" s="842" t="s">
        <v>653</v>
      </c>
      <c r="C258" s="809">
        <v>4909</v>
      </c>
      <c r="D258" s="116">
        <v>17000</v>
      </c>
      <c r="E258" s="133"/>
      <c r="F258" s="133"/>
      <c r="G258" s="116"/>
      <c r="H258" s="116"/>
      <c r="I258" s="135"/>
      <c r="J258" s="135"/>
      <c r="K258" s="135"/>
      <c r="L258" s="135"/>
    </row>
    <row r="259" spans="1:12" s="835" customFormat="1" ht="12" x14ac:dyDescent="0.2">
      <c r="A259" s="841"/>
      <c r="B259" s="842" t="s">
        <v>108</v>
      </c>
      <c r="C259" s="843">
        <v>4920</v>
      </c>
      <c r="D259" s="116"/>
      <c r="E259" s="116"/>
      <c r="F259" s="133"/>
      <c r="G259" s="116"/>
      <c r="H259" s="116"/>
      <c r="I259" s="135"/>
      <c r="J259" s="135"/>
      <c r="K259" s="135"/>
      <c r="L259" s="135"/>
    </row>
    <row r="260" spans="1:12" s="835" customFormat="1" ht="12" x14ac:dyDescent="0.2">
      <c r="A260" s="841"/>
      <c r="B260" s="844" t="s">
        <v>423</v>
      </c>
      <c r="C260" s="845">
        <v>4930</v>
      </c>
      <c r="D260" s="116"/>
      <c r="E260" s="116"/>
      <c r="F260" s="133"/>
      <c r="G260" s="116"/>
      <c r="H260" s="116"/>
      <c r="I260" s="135"/>
      <c r="J260" s="135"/>
      <c r="K260" s="135"/>
      <c r="L260" s="135"/>
    </row>
    <row r="261" spans="1:12" s="835" customFormat="1" ht="12" x14ac:dyDescent="0.2">
      <c r="A261" s="841"/>
      <c r="B261" s="846" t="s">
        <v>22</v>
      </c>
      <c r="C261" s="847">
        <v>4932</v>
      </c>
      <c r="D261" s="116">
        <v>57000</v>
      </c>
      <c r="E261" s="116"/>
      <c r="F261" s="133"/>
      <c r="G261" s="116"/>
      <c r="H261" s="116"/>
      <c r="I261" s="135"/>
      <c r="J261" s="135"/>
      <c r="K261" s="135"/>
      <c r="L261" s="135"/>
    </row>
    <row r="262" spans="1:12" s="835" customFormat="1" ht="12" x14ac:dyDescent="0.2">
      <c r="A262" s="841"/>
      <c r="B262" s="842" t="s">
        <v>248</v>
      </c>
      <c r="C262" s="845">
        <v>4960</v>
      </c>
      <c r="D262" s="116"/>
      <c r="E262" s="116"/>
      <c r="F262" s="133"/>
      <c r="G262" s="116"/>
      <c r="H262" s="116"/>
      <c r="I262" s="135"/>
      <c r="J262" s="135"/>
      <c r="K262" s="135"/>
      <c r="L262" s="135"/>
    </row>
    <row r="263" spans="1:12" s="835" customFormat="1" ht="12" x14ac:dyDescent="0.2">
      <c r="A263" s="841"/>
      <c r="B263" s="848" t="s">
        <v>658</v>
      </c>
      <c r="C263" s="845">
        <v>4981</v>
      </c>
      <c r="D263" s="116"/>
      <c r="E263" s="116"/>
      <c r="F263" s="133"/>
      <c r="G263" s="116"/>
      <c r="H263" s="116"/>
      <c r="I263" s="135"/>
      <c r="J263" s="135"/>
      <c r="K263" s="135"/>
      <c r="L263" s="135"/>
    </row>
    <row r="264" spans="1:12" s="835" customFormat="1" ht="12" x14ac:dyDescent="0.2">
      <c r="A264" s="841"/>
      <c r="B264" s="848" t="s">
        <v>659</v>
      </c>
      <c r="C264" s="845">
        <v>4982</v>
      </c>
      <c r="D264" s="116"/>
      <c r="E264" s="116"/>
      <c r="F264" s="133"/>
      <c r="G264" s="116"/>
      <c r="H264" s="116"/>
      <c r="I264" s="135"/>
      <c r="J264" s="135"/>
      <c r="K264" s="135"/>
      <c r="L264" s="135"/>
    </row>
    <row r="265" spans="1:12" s="835" customFormat="1" ht="12" x14ac:dyDescent="0.2">
      <c r="A265" s="841"/>
      <c r="B265" s="239" t="s">
        <v>426</v>
      </c>
      <c r="C265" s="809">
        <v>4991</v>
      </c>
      <c r="D265" s="116"/>
      <c r="E265" s="116"/>
      <c r="F265" s="133"/>
      <c r="G265" s="116"/>
      <c r="H265" s="116"/>
      <c r="I265" s="135"/>
      <c r="J265" s="135"/>
      <c r="K265" s="135"/>
      <c r="L265" s="135"/>
    </row>
    <row r="266" spans="1:12" s="835" customFormat="1" ht="12" x14ac:dyDescent="0.2">
      <c r="A266" s="841"/>
      <c r="B266" s="239" t="s">
        <v>427</v>
      </c>
      <c r="C266" s="809">
        <v>4992</v>
      </c>
      <c r="D266" s="116">
        <v>120000</v>
      </c>
      <c r="E266" s="116"/>
      <c r="F266" s="133"/>
      <c r="G266" s="116"/>
      <c r="H266" s="116"/>
      <c r="I266" s="135"/>
      <c r="J266" s="135"/>
      <c r="K266" s="135"/>
      <c r="L266" s="135"/>
    </row>
    <row r="267" spans="1:12" s="835" customFormat="1" ht="22.5" x14ac:dyDescent="0.2">
      <c r="A267" s="841">
        <v>4998</v>
      </c>
      <c r="B267" s="844" t="s">
        <v>831</v>
      </c>
      <c r="C267" s="845">
        <v>4998</v>
      </c>
      <c r="D267" s="116">
        <f>40000+121000+284500</f>
        <v>445500</v>
      </c>
      <c r="E267" s="116"/>
      <c r="F267" s="133"/>
      <c r="G267" s="116"/>
      <c r="H267" s="116"/>
      <c r="I267" s="116">
        <v>1380000</v>
      </c>
      <c r="J267" s="141"/>
      <c r="K267" s="141"/>
      <c r="L267" s="116"/>
    </row>
    <row r="268" spans="1:12" s="835" customFormat="1" ht="24.75" thickBot="1" x14ac:dyDescent="0.25">
      <c r="A268" s="832"/>
      <c r="B268" s="833" t="s">
        <v>734</v>
      </c>
      <c r="C268" s="834"/>
      <c r="D268" s="672">
        <f>SUM(D190,D200,D206,D211,D219,D223:D224,D254:D267)</f>
        <v>3780000</v>
      </c>
      <c r="E268" s="672">
        <f>SUM(E190,E200,E206,E211,E219,E223:E224,E254:E267)</f>
        <v>0</v>
      </c>
      <c r="F268" s="136">
        <f>SUM(F254:F256)</f>
        <v>0</v>
      </c>
      <c r="G268" s="672">
        <f>SUM(G190,G200,G206,G211,G219,G223:G224,G254:G267)</f>
        <v>0</v>
      </c>
      <c r="H268" s="672">
        <f>SUM(H190,H200,H206,H211,H219,H223:H224,H254:H267)</f>
        <v>0</v>
      </c>
      <c r="I268" s="672">
        <f>SUM(I190,I200,I206,I211,I219,I223:I224,I254:I267)</f>
        <v>1380000</v>
      </c>
      <c r="J268" s="135"/>
      <c r="K268" s="142">
        <f>SUM(K254:K256)</f>
        <v>0</v>
      </c>
      <c r="L268" s="672">
        <f>SUM(L190,L200,L206,L211,L219,L223:L224,L254:L267)</f>
        <v>0</v>
      </c>
    </row>
    <row r="269" spans="1:12" s="835" customFormat="1" ht="13.5" thickTop="1" thickBot="1" x14ac:dyDescent="0.25">
      <c r="A269" s="832"/>
      <c r="B269" s="836" t="s">
        <v>99</v>
      </c>
      <c r="C269" s="837">
        <v>4000</v>
      </c>
      <c r="D269" s="143">
        <f t="shared" ref="D269:L269" si="10">SUM(D177,D183,D268)</f>
        <v>3780000</v>
      </c>
      <c r="E269" s="143">
        <f t="shared" si="10"/>
        <v>0</v>
      </c>
      <c r="F269" s="143">
        <f t="shared" si="10"/>
        <v>0</v>
      </c>
      <c r="G269" s="143">
        <f t="shared" si="10"/>
        <v>0</v>
      </c>
      <c r="H269" s="143">
        <f t="shared" si="10"/>
        <v>0</v>
      </c>
      <c r="I269" s="143">
        <f t="shared" si="10"/>
        <v>1380000</v>
      </c>
      <c r="J269" s="143">
        <f t="shared" si="10"/>
        <v>0</v>
      </c>
      <c r="K269" s="143">
        <f t="shared" si="10"/>
        <v>0</v>
      </c>
      <c r="L269" s="143">
        <f t="shared" si="10"/>
        <v>0</v>
      </c>
    </row>
    <row r="270" spans="1:12" s="835" customFormat="1" ht="25.5" thickTop="1" thickBot="1" x14ac:dyDescent="0.25">
      <c r="A270" s="832"/>
      <c r="B270" s="836" t="s">
        <v>760</v>
      </c>
      <c r="C270" s="838"/>
      <c r="D270" s="143">
        <f>SUM(D111,D117,D172,D269)</f>
        <v>79244000</v>
      </c>
      <c r="E270" s="143">
        <f>SUM(E111,E117,E172,E269)</f>
        <v>8220000</v>
      </c>
      <c r="F270" s="143">
        <f>SUM(F111,F117,F172,F269)</f>
        <v>3619000</v>
      </c>
      <c r="G270" s="143">
        <f t="shared" ref="G270:L270" si="11">SUM(G111,G117,G172,G269)</f>
        <v>1250000</v>
      </c>
      <c r="H270" s="143">
        <f>SUM(H111,H117,H172,H269)</f>
        <v>3400000</v>
      </c>
      <c r="I270" s="143">
        <f t="shared" si="11"/>
        <v>2780000</v>
      </c>
      <c r="J270" s="143">
        <f>SUM(J111,J117,J172,J269)</f>
        <v>0</v>
      </c>
      <c r="K270" s="143">
        <f t="shared" si="11"/>
        <v>360000</v>
      </c>
      <c r="L270" s="143">
        <f t="shared" si="11"/>
        <v>0</v>
      </c>
    </row>
    <row r="271" spans="1:12" s="835" customFormat="1" ht="25.5" thickTop="1" thickBot="1" x14ac:dyDescent="0.25">
      <c r="A271" s="832"/>
      <c r="B271" s="836" t="s">
        <v>761</v>
      </c>
      <c r="C271" s="838"/>
      <c r="D271" s="143">
        <f>SUM(D112,D117,D172,D269)</f>
        <v>79244000</v>
      </c>
      <c r="E271" s="689"/>
      <c r="F271" s="689"/>
      <c r="G271" s="689"/>
      <c r="H271" s="689"/>
      <c r="I271" s="689"/>
      <c r="J271" s="689"/>
      <c r="K271" s="689"/>
      <c r="L271" s="689"/>
    </row>
    <row r="272" spans="1:12" ht="13.5" thickTop="1" x14ac:dyDescent="0.2"/>
  </sheetData>
  <sheetProtection algorithmName="SHA-512" hashValue="gjfMvt5pNcU++MOoJIhgpZJCDvmBaXp0Rg+h6wCKzZOLh8IzYx/AGx36TgNvnYeiHjRbVB08E480ZchAZwfPMw==" saltValue="qjnLZJtXnCLXP3UuEg+KFQ==" spinCount="100000" sheet="1" objects="1" scenarios="1"/>
  <mergeCells count="4">
    <mergeCell ref="B174:C174"/>
    <mergeCell ref="B177:C177"/>
    <mergeCell ref="B178:C178"/>
    <mergeCell ref="B184:C184"/>
  </mergeCells>
  <phoneticPr fontId="6" type="noConversion"/>
  <dataValidations count="1">
    <dataValidation type="whole" allowBlank="1" showInputMessage="1" showErrorMessage="1" error="Please enter whole number.  Decimals are not allowed." sqref="D81:D82 D5:L11 D14:L17 G42:G62 D65:L66 D114:H116 D86:D94 E112:L112 D120:L123 D127:G133 D145:H146 D136:H142 D158:L170 D175:L176 D179:L182 D186:H189 D202:H205 D208:H210 D213:H218 D221:H222 D192:H199 D148:L156 D224:L253 E81 D69:D74 D20:D39 D77:E80 D97:L109 D257:F267 I257:L267 E271:L271" xr:uid="{00000000-0002-0000-0300-000000000000}">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rowBreaks count="5" manualBreakCount="5">
    <brk id="54" max="11" man="1"/>
    <brk id="95" max="16383" man="1"/>
    <brk id="143" max="11" man="1"/>
    <brk id="190" max="16383" man="1"/>
    <brk id="243" max="1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autoPageBreaks="0" fitToPage="1"/>
  </sheetPr>
  <dimension ref="A1:M455"/>
  <sheetViews>
    <sheetView showGridLines="0" zoomScaleNormal="100" workbookViewId="0">
      <pane xSplit="3" ySplit="2" topLeftCell="D103" activePane="bottomRight" state="frozenSplit"/>
      <selection pane="topRight"/>
      <selection pane="bottomLeft"/>
      <selection pane="bottomRight" activeCell="D63" sqref="D63"/>
    </sheetView>
  </sheetViews>
  <sheetFormatPr defaultColWidth="8.7109375" defaultRowHeight="9" x14ac:dyDescent="0.15"/>
  <cols>
    <col min="1" max="1" width="10" style="726" hidden="1" customWidth="1"/>
    <col min="2" max="2" width="55.85546875" style="1031" customWidth="1"/>
    <col min="3" max="3" width="6.5703125" style="1031" customWidth="1"/>
    <col min="4" max="10" width="13.28515625" style="1032" customWidth="1"/>
    <col min="11" max="12" width="13.28515625" style="1033" customWidth="1"/>
    <col min="13" max="16384" width="8.7109375" style="726"/>
  </cols>
  <sheetData>
    <row r="1" spans="1:12" s="708" customFormat="1" ht="12.75" customHeight="1" x14ac:dyDescent="0.2">
      <c r="B1" s="1736" t="s">
        <v>744</v>
      </c>
      <c r="C1" s="1620"/>
      <c r="D1" s="1341" t="s">
        <v>268</v>
      </c>
      <c r="E1" s="1341" t="s">
        <v>269</v>
      </c>
      <c r="F1" s="1342" t="s">
        <v>270</v>
      </c>
      <c r="G1" s="1343" t="s">
        <v>271</v>
      </c>
      <c r="H1" s="1341" t="s">
        <v>272</v>
      </c>
      <c r="I1" s="1341" t="s">
        <v>273</v>
      </c>
      <c r="J1" s="1341" t="s">
        <v>274</v>
      </c>
      <c r="K1" s="1342" t="s">
        <v>275</v>
      </c>
      <c r="L1" s="1342" t="s">
        <v>276</v>
      </c>
    </row>
    <row r="2" spans="1:12" ht="24" x14ac:dyDescent="0.2">
      <c r="A2" s="1344" t="s">
        <v>821</v>
      </c>
      <c r="B2" s="1737"/>
      <c r="C2" s="1345" t="s">
        <v>444</v>
      </c>
      <c r="D2" s="1345" t="s">
        <v>404</v>
      </c>
      <c r="E2" s="1345" t="s">
        <v>405</v>
      </c>
      <c r="F2" s="1345" t="s">
        <v>406</v>
      </c>
      <c r="G2" s="1345" t="s">
        <v>407</v>
      </c>
      <c r="H2" s="283" t="s">
        <v>408</v>
      </c>
      <c r="I2" s="283" t="s">
        <v>409</v>
      </c>
      <c r="J2" s="283" t="s">
        <v>277</v>
      </c>
      <c r="K2" s="283" t="s">
        <v>278</v>
      </c>
      <c r="L2" s="283" t="s">
        <v>235</v>
      </c>
    </row>
    <row r="3" spans="1:12" s="1340" customFormat="1" ht="16.7" customHeight="1" x14ac:dyDescent="0.2">
      <c r="A3" s="1338"/>
      <c r="B3" s="1324" t="s">
        <v>204</v>
      </c>
      <c r="C3" s="1621"/>
      <c r="D3" s="206"/>
      <c r="E3" s="206"/>
      <c r="F3" s="206"/>
      <c r="G3" s="206"/>
      <c r="H3" s="206"/>
      <c r="I3" s="206"/>
      <c r="J3" s="206"/>
      <c r="K3" s="206"/>
      <c r="L3" s="284"/>
    </row>
    <row r="4" spans="1:12" s="1340" customFormat="1" ht="15.75" customHeight="1" x14ac:dyDescent="0.2">
      <c r="A4" s="1338"/>
      <c r="B4" s="1134" t="s">
        <v>151</v>
      </c>
      <c r="C4" s="1135" t="s">
        <v>240</v>
      </c>
      <c r="D4" s="285"/>
      <c r="E4" s="286"/>
      <c r="F4" s="286"/>
      <c r="G4" s="286"/>
      <c r="H4" s="286"/>
      <c r="I4" s="286"/>
      <c r="J4" s="286"/>
      <c r="K4" s="286"/>
      <c r="L4" s="287"/>
    </row>
    <row r="5" spans="1:12" s="1340" customFormat="1" ht="12" x14ac:dyDescent="0.2">
      <c r="A5" s="1338"/>
      <c r="B5" s="1126" t="s">
        <v>250</v>
      </c>
      <c r="C5" s="1127">
        <v>1100</v>
      </c>
      <c r="D5" s="288">
        <v>28367700</v>
      </c>
      <c r="E5" s="288">
        <v>2853100</v>
      </c>
      <c r="F5" s="288">
        <v>458400</v>
      </c>
      <c r="G5" s="288">
        <v>410100</v>
      </c>
      <c r="H5" s="288">
        <v>648000</v>
      </c>
      <c r="I5" s="288">
        <v>380000</v>
      </c>
      <c r="J5" s="288"/>
      <c r="K5" s="288"/>
      <c r="L5" s="289">
        <f>SUM(D5:K5)</f>
        <v>33117300</v>
      </c>
    </row>
    <row r="6" spans="1:12" s="1340" customFormat="1" ht="12" x14ac:dyDescent="0.2">
      <c r="A6" s="1338"/>
      <c r="B6" s="1122" t="s">
        <v>587</v>
      </c>
      <c r="C6" s="1110">
        <v>1115</v>
      </c>
      <c r="D6" s="351"/>
      <c r="E6" s="351"/>
      <c r="F6" s="288"/>
      <c r="G6" s="351"/>
      <c r="H6" s="351"/>
      <c r="I6" s="351"/>
      <c r="J6" s="351"/>
      <c r="K6" s="351"/>
      <c r="L6" s="207">
        <f>SUM(D6:K6)</f>
        <v>0</v>
      </c>
    </row>
    <row r="7" spans="1:12" s="1340" customFormat="1" ht="12" x14ac:dyDescent="0.2">
      <c r="A7" s="1338"/>
      <c r="B7" s="1122" t="s">
        <v>279</v>
      </c>
      <c r="C7" s="1110">
        <v>1125</v>
      </c>
      <c r="D7" s="288"/>
      <c r="E7" s="288"/>
      <c r="F7" s="288"/>
      <c r="G7" s="288"/>
      <c r="H7" s="288"/>
      <c r="I7" s="288"/>
      <c r="J7" s="288"/>
      <c r="K7" s="288"/>
      <c r="L7" s="207">
        <f t="shared" ref="L7:L34" si="0">SUM(D7:K7)</f>
        <v>0</v>
      </c>
    </row>
    <row r="8" spans="1:12" s="1340" customFormat="1" ht="12" x14ac:dyDescent="0.2">
      <c r="A8" s="1338"/>
      <c r="B8" s="1122" t="s">
        <v>323</v>
      </c>
      <c r="C8" s="1110">
        <v>1200</v>
      </c>
      <c r="D8" s="288">
        <v>6991000</v>
      </c>
      <c r="E8" s="288">
        <v>672200</v>
      </c>
      <c r="F8" s="288">
        <v>467000</v>
      </c>
      <c r="G8" s="288">
        <v>88000</v>
      </c>
      <c r="H8" s="288">
        <v>10000</v>
      </c>
      <c r="I8" s="288">
        <v>4400000</v>
      </c>
      <c r="J8" s="288"/>
      <c r="K8" s="288"/>
      <c r="L8" s="207">
        <f t="shared" si="0"/>
        <v>12628200</v>
      </c>
    </row>
    <row r="9" spans="1:12" s="1340" customFormat="1" ht="12" x14ac:dyDescent="0.2">
      <c r="A9" s="1338"/>
      <c r="B9" s="1122" t="s">
        <v>280</v>
      </c>
      <c r="C9" s="1110">
        <v>1225</v>
      </c>
      <c r="D9" s="288"/>
      <c r="E9" s="288"/>
      <c r="F9" s="288"/>
      <c r="G9" s="288"/>
      <c r="H9" s="288"/>
      <c r="I9" s="288"/>
      <c r="J9" s="288"/>
      <c r="K9" s="288"/>
      <c r="L9" s="207">
        <f t="shared" si="0"/>
        <v>0</v>
      </c>
    </row>
    <row r="10" spans="1:12" s="1340" customFormat="1" ht="12" x14ac:dyDescent="0.2">
      <c r="A10" s="1338"/>
      <c r="B10" s="1122" t="s">
        <v>115</v>
      </c>
      <c r="C10" s="1110">
        <v>1250</v>
      </c>
      <c r="D10" s="288"/>
      <c r="E10" s="288"/>
      <c r="F10" s="288"/>
      <c r="G10" s="288"/>
      <c r="H10" s="288"/>
      <c r="I10" s="288"/>
      <c r="J10" s="288"/>
      <c r="K10" s="288"/>
      <c r="L10" s="207">
        <f t="shared" si="0"/>
        <v>0</v>
      </c>
    </row>
    <row r="11" spans="1:12" s="1340" customFormat="1" ht="12" x14ac:dyDescent="0.2">
      <c r="A11" s="1338"/>
      <c r="B11" s="1122" t="s">
        <v>381</v>
      </c>
      <c r="C11" s="1110">
        <v>1275</v>
      </c>
      <c r="D11" s="288"/>
      <c r="E11" s="288"/>
      <c r="F11" s="288"/>
      <c r="G11" s="288"/>
      <c r="H11" s="288"/>
      <c r="I11" s="288"/>
      <c r="J11" s="288"/>
      <c r="K11" s="288"/>
      <c r="L11" s="207">
        <f t="shared" si="0"/>
        <v>0</v>
      </c>
    </row>
    <row r="12" spans="1:12" ht="12" x14ac:dyDescent="0.2">
      <c r="A12" s="1338"/>
      <c r="B12" s="1122" t="s">
        <v>261</v>
      </c>
      <c r="C12" s="1110">
        <v>1300</v>
      </c>
      <c r="D12" s="288">
        <v>113000</v>
      </c>
      <c r="E12" s="288">
        <v>16000</v>
      </c>
      <c r="F12" s="288"/>
      <c r="G12" s="288"/>
      <c r="H12" s="288"/>
      <c r="I12" s="288"/>
      <c r="J12" s="288"/>
      <c r="K12" s="288"/>
      <c r="L12" s="207">
        <f t="shared" si="0"/>
        <v>129000</v>
      </c>
    </row>
    <row r="13" spans="1:12" ht="12" x14ac:dyDescent="0.2">
      <c r="A13" s="1338"/>
      <c r="B13" s="1122" t="s">
        <v>281</v>
      </c>
      <c r="C13" s="1110">
        <v>1400</v>
      </c>
      <c r="D13" s="288">
        <v>2522000</v>
      </c>
      <c r="E13" s="288">
        <v>243800</v>
      </c>
      <c r="F13" s="288">
        <v>16800</v>
      </c>
      <c r="G13" s="288">
        <v>45000</v>
      </c>
      <c r="H13" s="288">
        <v>4000</v>
      </c>
      <c r="I13" s="288"/>
      <c r="J13" s="288"/>
      <c r="K13" s="288"/>
      <c r="L13" s="207">
        <f t="shared" si="0"/>
        <v>2831600</v>
      </c>
    </row>
    <row r="14" spans="1:12" ht="12" x14ac:dyDescent="0.2">
      <c r="A14" s="1338"/>
      <c r="B14" s="1122" t="s">
        <v>262</v>
      </c>
      <c r="C14" s="1110">
        <v>1500</v>
      </c>
      <c r="D14" s="288">
        <v>1656300</v>
      </c>
      <c r="E14" s="288">
        <v>68400</v>
      </c>
      <c r="F14" s="288">
        <v>221300</v>
      </c>
      <c r="G14" s="288">
        <v>113500</v>
      </c>
      <c r="H14" s="288">
        <v>12000</v>
      </c>
      <c r="I14" s="288"/>
      <c r="J14" s="288"/>
      <c r="K14" s="288"/>
      <c r="L14" s="207">
        <f t="shared" si="0"/>
        <v>2071500</v>
      </c>
    </row>
    <row r="15" spans="1:12" ht="12" x14ac:dyDescent="0.2">
      <c r="A15" s="1338"/>
      <c r="B15" s="1122" t="s">
        <v>263</v>
      </c>
      <c r="C15" s="1110">
        <v>1600</v>
      </c>
      <c r="D15" s="288">
        <v>383000</v>
      </c>
      <c r="E15" s="288"/>
      <c r="F15" s="288">
        <v>4500</v>
      </c>
      <c r="G15" s="288">
        <v>3500</v>
      </c>
      <c r="H15" s="288"/>
      <c r="I15" s="288"/>
      <c r="J15" s="288"/>
      <c r="K15" s="288"/>
      <c r="L15" s="207">
        <f t="shared" si="0"/>
        <v>391000</v>
      </c>
    </row>
    <row r="16" spans="1:12" ht="12" x14ac:dyDescent="0.2">
      <c r="A16" s="1338"/>
      <c r="B16" s="1122" t="s">
        <v>113</v>
      </c>
      <c r="C16" s="1110">
        <v>1650</v>
      </c>
      <c r="D16" s="288"/>
      <c r="E16" s="288"/>
      <c r="F16" s="288"/>
      <c r="G16" s="288"/>
      <c r="H16" s="288"/>
      <c r="I16" s="288"/>
      <c r="J16" s="288"/>
      <c r="K16" s="288"/>
      <c r="L16" s="207">
        <f t="shared" si="0"/>
        <v>0</v>
      </c>
    </row>
    <row r="17" spans="1:12" ht="12" x14ac:dyDescent="0.2">
      <c r="A17" s="1338"/>
      <c r="B17" s="1122" t="s">
        <v>282</v>
      </c>
      <c r="C17" s="1110">
        <v>1700</v>
      </c>
      <c r="D17" s="288"/>
      <c r="E17" s="288"/>
      <c r="F17" s="288"/>
      <c r="G17" s="288"/>
      <c r="H17" s="288"/>
      <c r="I17" s="288"/>
      <c r="J17" s="288"/>
      <c r="K17" s="288"/>
      <c r="L17" s="207">
        <f t="shared" si="0"/>
        <v>0</v>
      </c>
    </row>
    <row r="18" spans="1:12" s="1340" customFormat="1" ht="12" x14ac:dyDescent="0.2">
      <c r="A18" s="1338"/>
      <c r="B18" s="1122" t="s">
        <v>114</v>
      </c>
      <c r="C18" s="1110">
        <v>1800</v>
      </c>
      <c r="D18" s="288">
        <v>247000</v>
      </c>
      <c r="E18" s="288">
        <v>43000</v>
      </c>
      <c r="F18" s="288">
        <v>2000</v>
      </c>
      <c r="G18" s="288">
        <v>1000</v>
      </c>
      <c r="H18" s="288"/>
      <c r="I18" s="288"/>
      <c r="J18" s="288"/>
      <c r="K18" s="288"/>
      <c r="L18" s="207">
        <f t="shared" si="0"/>
        <v>293000</v>
      </c>
    </row>
    <row r="19" spans="1:12" s="1340" customFormat="1" ht="12" x14ac:dyDescent="0.2">
      <c r="A19" s="1338"/>
      <c r="B19" s="1122" t="s">
        <v>128</v>
      </c>
      <c r="C19" s="1110">
        <v>1900</v>
      </c>
      <c r="D19" s="288">
        <v>600000</v>
      </c>
      <c r="E19" s="288">
        <v>77600</v>
      </c>
      <c r="F19" s="288">
        <v>23150</v>
      </c>
      <c r="G19" s="288">
        <v>3500</v>
      </c>
      <c r="H19" s="288"/>
      <c r="I19" s="288">
        <v>40000</v>
      </c>
      <c r="J19" s="288"/>
      <c r="K19" s="288"/>
      <c r="L19" s="207">
        <f t="shared" si="0"/>
        <v>744250</v>
      </c>
    </row>
    <row r="20" spans="1:12" s="1340" customFormat="1" ht="12" x14ac:dyDescent="0.2">
      <c r="A20" s="1338"/>
      <c r="B20" s="1122" t="s">
        <v>116</v>
      </c>
      <c r="C20" s="1110">
        <v>1910</v>
      </c>
      <c r="D20" s="290"/>
      <c r="E20" s="291"/>
      <c r="F20" s="291"/>
      <c r="G20" s="291"/>
      <c r="H20" s="291"/>
      <c r="I20" s="294"/>
      <c r="J20" s="295"/>
      <c r="K20" s="291"/>
      <c r="L20" s="207">
        <f t="shared" si="0"/>
        <v>0</v>
      </c>
    </row>
    <row r="21" spans="1:12" s="1340" customFormat="1" ht="12" x14ac:dyDescent="0.2">
      <c r="A21" s="1338"/>
      <c r="B21" s="1122" t="s">
        <v>117</v>
      </c>
      <c r="C21" s="1110">
        <v>1911</v>
      </c>
      <c r="D21" s="296"/>
      <c r="E21" s="297"/>
      <c r="F21" s="297"/>
      <c r="G21" s="297"/>
      <c r="H21" s="297"/>
      <c r="I21" s="294"/>
      <c r="J21" s="298"/>
      <c r="K21" s="297"/>
      <c r="L21" s="207">
        <f t="shared" si="0"/>
        <v>0</v>
      </c>
    </row>
    <row r="22" spans="1:12" s="1340" customFormat="1" ht="12" x14ac:dyDescent="0.2">
      <c r="A22" s="1338"/>
      <c r="B22" s="1122" t="s">
        <v>118</v>
      </c>
      <c r="C22" s="1110">
        <v>1912</v>
      </c>
      <c r="D22" s="296"/>
      <c r="E22" s="297"/>
      <c r="F22" s="297"/>
      <c r="G22" s="297"/>
      <c r="H22" s="297"/>
      <c r="I22" s="294"/>
      <c r="J22" s="298"/>
      <c r="K22" s="297"/>
      <c r="L22" s="207">
        <f t="shared" si="0"/>
        <v>0</v>
      </c>
    </row>
    <row r="23" spans="1:12" s="1340" customFormat="1" ht="12" x14ac:dyDescent="0.2">
      <c r="A23" s="1338"/>
      <c r="B23" s="1122" t="s">
        <v>119</v>
      </c>
      <c r="C23" s="1110">
        <v>1913</v>
      </c>
      <c r="D23" s="296"/>
      <c r="E23" s="297"/>
      <c r="F23" s="297"/>
      <c r="G23" s="297"/>
      <c r="H23" s="297"/>
      <c r="I23" s="294"/>
      <c r="J23" s="298"/>
      <c r="K23" s="297"/>
      <c r="L23" s="207">
        <f t="shared" si="0"/>
        <v>0</v>
      </c>
    </row>
    <row r="24" spans="1:12" s="1340" customFormat="1" ht="12" x14ac:dyDescent="0.2">
      <c r="A24" s="1338"/>
      <c r="B24" s="1122" t="s">
        <v>120</v>
      </c>
      <c r="C24" s="1110">
        <v>1914</v>
      </c>
      <c r="D24" s="296"/>
      <c r="E24" s="297"/>
      <c r="F24" s="297"/>
      <c r="G24" s="297"/>
      <c r="H24" s="297"/>
      <c r="I24" s="294"/>
      <c r="J24" s="298"/>
      <c r="K24" s="297"/>
      <c r="L24" s="207">
        <f t="shared" si="0"/>
        <v>0</v>
      </c>
    </row>
    <row r="25" spans="1:12" s="1340" customFormat="1" ht="12" x14ac:dyDescent="0.2">
      <c r="A25" s="1338"/>
      <c r="B25" s="1122" t="s">
        <v>121</v>
      </c>
      <c r="C25" s="1110">
        <v>1915</v>
      </c>
      <c r="D25" s="296"/>
      <c r="E25" s="297"/>
      <c r="F25" s="297"/>
      <c r="G25" s="297"/>
      <c r="H25" s="297"/>
      <c r="I25" s="294"/>
      <c r="J25" s="298"/>
      <c r="K25" s="297"/>
      <c r="L25" s="207">
        <f t="shared" si="0"/>
        <v>0</v>
      </c>
    </row>
    <row r="26" spans="1:12" s="1340" customFormat="1" ht="12" x14ac:dyDescent="0.2">
      <c r="A26" s="1338"/>
      <c r="B26" s="1122" t="s">
        <v>285</v>
      </c>
      <c r="C26" s="1110">
        <v>1916</v>
      </c>
      <c r="D26" s="296"/>
      <c r="E26" s="297"/>
      <c r="F26" s="297"/>
      <c r="G26" s="297"/>
      <c r="H26" s="297"/>
      <c r="I26" s="294"/>
      <c r="J26" s="298"/>
      <c r="K26" s="297"/>
      <c r="L26" s="207">
        <f t="shared" si="0"/>
        <v>0</v>
      </c>
    </row>
    <row r="27" spans="1:12" s="1340" customFormat="1" ht="12" x14ac:dyDescent="0.2">
      <c r="A27" s="1338"/>
      <c r="B27" s="1122" t="s">
        <v>286</v>
      </c>
      <c r="C27" s="1110">
        <v>1917</v>
      </c>
      <c r="D27" s="296"/>
      <c r="E27" s="297"/>
      <c r="F27" s="297"/>
      <c r="G27" s="297"/>
      <c r="H27" s="297"/>
      <c r="I27" s="294"/>
      <c r="J27" s="298"/>
      <c r="K27" s="297"/>
      <c r="L27" s="207">
        <f t="shared" si="0"/>
        <v>0</v>
      </c>
    </row>
    <row r="28" spans="1:12" s="1340" customFormat="1" ht="12" x14ac:dyDescent="0.2">
      <c r="A28" s="1338"/>
      <c r="B28" s="1122" t="s">
        <v>287</v>
      </c>
      <c r="C28" s="1110">
        <v>1918</v>
      </c>
      <c r="D28" s="296"/>
      <c r="E28" s="297"/>
      <c r="F28" s="297"/>
      <c r="G28" s="297"/>
      <c r="H28" s="297"/>
      <c r="I28" s="294"/>
      <c r="J28" s="298"/>
      <c r="K28" s="297"/>
      <c r="L28" s="207">
        <f t="shared" si="0"/>
        <v>0</v>
      </c>
    </row>
    <row r="29" spans="1:12" s="1340" customFormat="1" ht="12" x14ac:dyDescent="0.2">
      <c r="A29" s="1338"/>
      <c r="B29" s="1122" t="s">
        <v>288</v>
      </c>
      <c r="C29" s="1110">
        <v>1919</v>
      </c>
      <c r="D29" s="296"/>
      <c r="E29" s="297"/>
      <c r="F29" s="297"/>
      <c r="G29" s="297"/>
      <c r="H29" s="297"/>
      <c r="I29" s="294"/>
      <c r="J29" s="298"/>
      <c r="K29" s="297"/>
      <c r="L29" s="207">
        <f t="shared" si="0"/>
        <v>0</v>
      </c>
    </row>
    <row r="30" spans="1:12" s="1340" customFormat="1" ht="12" x14ac:dyDescent="0.2">
      <c r="A30" s="1338"/>
      <c r="B30" s="1122" t="s">
        <v>289</v>
      </c>
      <c r="C30" s="1123">
        <v>1920</v>
      </c>
      <c r="D30" s="296"/>
      <c r="E30" s="297"/>
      <c r="F30" s="297"/>
      <c r="G30" s="297"/>
      <c r="H30" s="297"/>
      <c r="I30" s="294"/>
      <c r="J30" s="298"/>
      <c r="K30" s="297"/>
      <c r="L30" s="207">
        <f t="shared" si="0"/>
        <v>0</v>
      </c>
    </row>
    <row r="31" spans="1:12" s="1340" customFormat="1" ht="12" x14ac:dyDescent="0.2">
      <c r="A31" s="1338"/>
      <c r="B31" s="1122" t="s">
        <v>290</v>
      </c>
      <c r="C31" s="1123">
        <v>1921</v>
      </c>
      <c r="D31" s="296"/>
      <c r="E31" s="297"/>
      <c r="F31" s="297"/>
      <c r="G31" s="297"/>
      <c r="H31" s="297"/>
      <c r="I31" s="294"/>
      <c r="J31" s="298"/>
      <c r="K31" s="297"/>
      <c r="L31" s="207">
        <f t="shared" si="0"/>
        <v>0</v>
      </c>
    </row>
    <row r="32" spans="1:12" s="1340" customFormat="1" ht="12" x14ac:dyDescent="0.2">
      <c r="A32" s="1338"/>
      <c r="B32" s="1124" t="s">
        <v>122</v>
      </c>
      <c r="C32" s="1125">
        <v>1922</v>
      </c>
      <c r="D32" s="296"/>
      <c r="E32" s="297"/>
      <c r="F32" s="297"/>
      <c r="G32" s="297"/>
      <c r="H32" s="297"/>
      <c r="I32" s="616"/>
      <c r="J32" s="298"/>
      <c r="K32" s="297"/>
      <c r="L32" s="207">
        <f t="shared" si="0"/>
        <v>0</v>
      </c>
    </row>
    <row r="33" spans="1:13" s="1340" customFormat="1" ht="12" x14ac:dyDescent="0.2">
      <c r="A33" s="1338"/>
      <c r="B33" s="1124" t="s">
        <v>754</v>
      </c>
      <c r="C33" s="1125">
        <v>1999</v>
      </c>
      <c r="D33" s="296"/>
      <c r="E33" s="296"/>
      <c r="F33" s="296"/>
      <c r="G33" s="296"/>
      <c r="H33" s="296"/>
      <c r="I33" s="294"/>
      <c r="J33" s="296"/>
      <c r="K33" s="296"/>
      <c r="L33" s="629">
        <f>SUM(D33:K33)</f>
        <v>0</v>
      </c>
    </row>
    <row r="34" spans="1:13" ht="15" thickBot="1" x14ac:dyDescent="0.25">
      <c r="A34" s="1338"/>
      <c r="B34" s="1115" t="s">
        <v>762</v>
      </c>
      <c r="C34" s="1116">
        <v>1000</v>
      </c>
      <c r="D34" s="210">
        <f>SUM(D5:D32)</f>
        <v>40880000</v>
      </c>
      <c r="E34" s="210">
        <f t="shared" ref="E34:K34" si="1">SUM(E5:E32)</f>
        <v>3974100</v>
      </c>
      <c r="F34" s="210">
        <f t="shared" si="1"/>
        <v>1193150</v>
      </c>
      <c r="G34" s="210">
        <f t="shared" si="1"/>
        <v>664600</v>
      </c>
      <c r="H34" s="210">
        <f t="shared" si="1"/>
        <v>674000</v>
      </c>
      <c r="I34" s="210">
        <f>SUM(I5:I32)</f>
        <v>4820000</v>
      </c>
      <c r="J34" s="210">
        <f t="shared" si="1"/>
        <v>0</v>
      </c>
      <c r="K34" s="210">
        <f t="shared" si="1"/>
        <v>0</v>
      </c>
      <c r="L34" s="276">
        <f t="shared" si="0"/>
        <v>52205850</v>
      </c>
      <c r="M34" s="1121"/>
    </row>
    <row r="35" spans="1:13" ht="13.5" thickTop="1" thickBot="1" x14ac:dyDescent="0.25">
      <c r="A35" s="1338"/>
      <c r="B35" s="1339" t="s">
        <v>763</v>
      </c>
      <c r="C35" s="1116">
        <v>1000</v>
      </c>
      <c r="D35" s="315">
        <f>SUM(D5:D33)</f>
        <v>40880000</v>
      </c>
      <c r="E35" s="315">
        <f t="shared" ref="E35:K35" si="2">SUM(E5:E33)</f>
        <v>3974100</v>
      </c>
      <c r="F35" s="315">
        <f t="shared" si="2"/>
        <v>1193150</v>
      </c>
      <c r="G35" s="315">
        <f t="shared" si="2"/>
        <v>664600</v>
      </c>
      <c r="H35" s="315">
        <f t="shared" si="2"/>
        <v>674000</v>
      </c>
      <c r="I35" s="315">
        <f>SUM(I5:I33)</f>
        <v>4820000</v>
      </c>
      <c r="J35" s="315">
        <f t="shared" si="2"/>
        <v>0</v>
      </c>
      <c r="K35" s="315">
        <f t="shared" si="2"/>
        <v>0</v>
      </c>
      <c r="L35" s="276">
        <f t="shared" ref="L35" si="3">SUM(D35:K35)</f>
        <v>52205850</v>
      </c>
      <c r="M35" s="1121"/>
    </row>
    <row r="36" spans="1:13" s="1105" customFormat="1" ht="15.75" customHeight="1" thickTop="1" x14ac:dyDescent="0.2">
      <c r="A36" s="1338"/>
      <c r="B36" s="1117" t="s">
        <v>152</v>
      </c>
      <c r="C36" s="1118">
        <v>2000</v>
      </c>
      <c r="D36" s="299"/>
      <c r="E36" s="300"/>
      <c r="F36" s="300"/>
      <c r="G36" s="300"/>
      <c r="H36" s="300"/>
      <c r="I36" s="300"/>
      <c r="J36" s="300"/>
      <c r="K36" s="300"/>
      <c r="L36" s="301"/>
    </row>
    <row r="37" spans="1:13" s="1105" customFormat="1" ht="15.75" customHeight="1" x14ac:dyDescent="0.2">
      <c r="A37" s="1338"/>
      <c r="B37" s="1119" t="s">
        <v>222</v>
      </c>
      <c r="C37" s="1120">
        <v>2100</v>
      </c>
      <c r="D37" s="302"/>
      <c r="E37" s="303"/>
      <c r="F37" s="303"/>
      <c r="G37" s="303"/>
      <c r="H37" s="303"/>
      <c r="I37" s="303"/>
      <c r="J37" s="303"/>
      <c r="K37" s="303"/>
      <c r="L37" s="304"/>
    </row>
    <row r="38" spans="1:13" ht="12" x14ac:dyDescent="0.2">
      <c r="A38" s="1338"/>
      <c r="B38" s="1109" t="s">
        <v>130</v>
      </c>
      <c r="C38" s="1110">
        <v>2110</v>
      </c>
      <c r="D38" s="293">
        <v>1170000</v>
      </c>
      <c r="E38" s="293">
        <v>119800</v>
      </c>
      <c r="F38" s="293">
        <v>50800</v>
      </c>
      <c r="G38" s="293">
        <v>16100</v>
      </c>
      <c r="H38" s="293"/>
      <c r="I38" s="293"/>
      <c r="J38" s="293"/>
      <c r="K38" s="293"/>
      <c r="L38" s="207">
        <f t="shared" ref="L38:L43" si="4">SUM(D38:K38)</f>
        <v>1356700</v>
      </c>
    </row>
    <row r="39" spans="1:13" ht="12" x14ac:dyDescent="0.2">
      <c r="A39" s="1338"/>
      <c r="B39" s="1111" t="s">
        <v>131</v>
      </c>
      <c r="C39" s="1110">
        <v>2120</v>
      </c>
      <c r="D39" s="293">
        <v>2750600</v>
      </c>
      <c r="E39" s="293">
        <v>165300</v>
      </c>
      <c r="F39" s="293">
        <v>20400</v>
      </c>
      <c r="G39" s="293">
        <v>11000</v>
      </c>
      <c r="H39" s="293"/>
      <c r="I39" s="293">
        <v>1600</v>
      </c>
      <c r="J39" s="293"/>
      <c r="K39" s="293"/>
      <c r="L39" s="207">
        <f t="shared" si="4"/>
        <v>2948900</v>
      </c>
    </row>
    <row r="40" spans="1:13" ht="12" x14ac:dyDescent="0.2">
      <c r="A40" s="1338"/>
      <c r="B40" s="1111" t="s">
        <v>132</v>
      </c>
      <c r="C40" s="1110">
        <v>2130</v>
      </c>
      <c r="D40" s="293">
        <v>311800</v>
      </c>
      <c r="E40" s="293">
        <v>34100</v>
      </c>
      <c r="F40" s="293">
        <v>112800</v>
      </c>
      <c r="G40" s="293">
        <v>23000</v>
      </c>
      <c r="H40" s="293">
        <v>3000</v>
      </c>
      <c r="I40" s="293"/>
      <c r="J40" s="293"/>
      <c r="K40" s="293"/>
      <c r="L40" s="207">
        <f t="shared" si="4"/>
        <v>484700</v>
      </c>
    </row>
    <row r="41" spans="1:13" ht="12" x14ac:dyDescent="0.2">
      <c r="A41" s="1338"/>
      <c r="B41" s="1111" t="s">
        <v>133</v>
      </c>
      <c r="C41" s="1110">
        <v>2140</v>
      </c>
      <c r="D41" s="293">
        <v>522000</v>
      </c>
      <c r="E41" s="293">
        <v>54000</v>
      </c>
      <c r="F41" s="293">
        <v>5100</v>
      </c>
      <c r="G41" s="293">
        <v>6000</v>
      </c>
      <c r="H41" s="293"/>
      <c r="I41" s="293"/>
      <c r="J41" s="293"/>
      <c r="K41" s="293"/>
      <c r="L41" s="207">
        <f t="shared" si="4"/>
        <v>587100</v>
      </c>
    </row>
    <row r="42" spans="1:13" s="1337" customFormat="1" ht="12.75" x14ac:dyDescent="0.2">
      <c r="A42" s="1338"/>
      <c r="B42" s="1112" t="s">
        <v>360</v>
      </c>
      <c r="C42" s="1622">
        <v>2150</v>
      </c>
      <c r="D42" s="293"/>
      <c r="E42" s="293"/>
      <c r="F42" s="293"/>
      <c r="G42" s="293"/>
      <c r="H42" s="293"/>
      <c r="I42" s="293"/>
      <c r="J42" s="293"/>
      <c r="K42" s="293"/>
      <c r="L42" s="207">
        <f t="shared" si="4"/>
        <v>0</v>
      </c>
    </row>
    <row r="43" spans="1:13" s="1337" customFormat="1" ht="12.75" x14ac:dyDescent="0.2">
      <c r="A43" s="1039" t="s">
        <v>853</v>
      </c>
      <c r="B43" s="1113" t="s">
        <v>698</v>
      </c>
      <c r="C43" s="1114">
        <v>2190</v>
      </c>
      <c r="D43" s="293">
        <v>2980100</v>
      </c>
      <c r="E43" s="293">
        <v>407400</v>
      </c>
      <c r="F43" s="293">
        <v>217900</v>
      </c>
      <c r="G43" s="293">
        <v>118100</v>
      </c>
      <c r="H43" s="293">
        <v>50000</v>
      </c>
      <c r="I43" s="293">
        <v>15000</v>
      </c>
      <c r="J43" s="293"/>
      <c r="K43" s="293"/>
      <c r="L43" s="207">
        <f t="shared" si="4"/>
        <v>3788500</v>
      </c>
    </row>
    <row r="44" spans="1:13" ht="12.75" thickBot="1" x14ac:dyDescent="0.25">
      <c r="A44" s="1039"/>
      <c r="B44" s="1099" t="s">
        <v>500</v>
      </c>
      <c r="C44" s="1623">
        <v>2100</v>
      </c>
      <c r="D44" s="210">
        <f>SUM(D38:D43)</f>
        <v>7734500</v>
      </c>
      <c r="E44" s="210">
        <f t="shared" ref="E44:L44" si="5">SUM(E38:E43)</f>
        <v>780600</v>
      </c>
      <c r="F44" s="210">
        <f t="shared" si="5"/>
        <v>407000</v>
      </c>
      <c r="G44" s="210">
        <f t="shared" si="5"/>
        <v>174200</v>
      </c>
      <c r="H44" s="210">
        <f t="shared" si="5"/>
        <v>53000</v>
      </c>
      <c r="I44" s="210">
        <f t="shared" si="5"/>
        <v>16600</v>
      </c>
      <c r="J44" s="210">
        <f t="shared" si="5"/>
        <v>0</v>
      </c>
      <c r="K44" s="210">
        <f t="shared" si="5"/>
        <v>0</v>
      </c>
      <c r="L44" s="210">
        <f t="shared" si="5"/>
        <v>9165900</v>
      </c>
      <c r="M44" s="1121"/>
    </row>
    <row r="45" spans="1:13" s="1105" customFormat="1" ht="15.75" customHeight="1" thickTop="1" x14ac:dyDescent="0.2">
      <c r="A45" s="1039"/>
      <c r="B45" s="1100" t="s">
        <v>224</v>
      </c>
      <c r="C45" s="1104">
        <v>2200</v>
      </c>
      <c r="D45" s="305"/>
      <c r="E45" s="306"/>
      <c r="F45" s="306"/>
      <c r="G45" s="306"/>
      <c r="H45" s="306"/>
      <c r="I45" s="306"/>
      <c r="J45" s="306"/>
      <c r="K45" s="306"/>
      <c r="L45" s="217"/>
    </row>
    <row r="46" spans="1:13" ht="12" x14ac:dyDescent="0.2">
      <c r="A46" s="1039"/>
      <c r="B46" s="1101" t="s">
        <v>257</v>
      </c>
      <c r="C46" s="1102">
        <v>2210</v>
      </c>
      <c r="D46" s="293">
        <v>173600</v>
      </c>
      <c r="E46" s="293">
        <v>10100</v>
      </c>
      <c r="F46" s="293">
        <v>326800</v>
      </c>
      <c r="G46" s="293">
        <v>119000</v>
      </c>
      <c r="H46" s="293">
        <v>3700</v>
      </c>
      <c r="I46" s="293">
        <v>10200</v>
      </c>
      <c r="J46" s="293"/>
      <c r="K46" s="293"/>
      <c r="L46" s="207">
        <f>SUM(D46:K46)</f>
        <v>643400</v>
      </c>
    </row>
    <row r="47" spans="1:13" ht="12" x14ac:dyDescent="0.2">
      <c r="A47" s="1039"/>
      <c r="B47" s="1101" t="s">
        <v>258</v>
      </c>
      <c r="C47" s="1102">
        <v>2220</v>
      </c>
      <c r="D47" s="293">
        <v>720250</v>
      </c>
      <c r="E47" s="293">
        <v>81000</v>
      </c>
      <c r="F47" s="293">
        <v>61500</v>
      </c>
      <c r="G47" s="293">
        <v>451000</v>
      </c>
      <c r="H47" s="293">
        <v>6000</v>
      </c>
      <c r="I47" s="293"/>
      <c r="J47" s="293"/>
      <c r="K47" s="293"/>
      <c r="L47" s="207">
        <f>SUM(D47:K47)</f>
        <v>1319750</v>
      </c>
    </row>
    <row r="48" spans="1:13" ht="12" x14ac:dyDescent="0.2">
      <c r="A48" s="1039"/>
      <c r="B48" s="1101" t="s">
        <v>259</v>
      </c>
      <c r="C48" s="1102">
        <v>2230</v>
      </c>
      <c r="D48" s="293">
        <v>174000</v>
      </c>
      <c r="E48" s="293">
        <v>9000</v>
      </c>
      <c r="F48" s="293">
        <v>8000</v>
      </c>
      <c r="G48" s="293">
        <v>24000</v>
      </c>
      <c r="H48" s="293"/>
      <c r="I48" s="293"/>
      <c r="J48" s="293"/>
      <c r="K48" s="293"/>
      <c r="L48" s="207">
        <f>SUM(D48:K48)</f>
        <v>215000</v>
      </c>
    </row>
    <row r="49" spans="1:13" ht="12.75" thickBot="1" x14ac:dyDescent="0.25">
      <c r="A49" s="1039"/>
      <c r="B49" s="1099" t="s">
        <v>501</v>
      </c>
      <c r="C49" s="1623">
        <v>2200</v>
      </c>
      <c r="D49" s="210">
        <f>SUM(D46:D48)</f>
        <v>1067850</v>
      </c>
      <c r="E49" s="210">
        <f t="shared" ref="E49:L49" si="6">SUM(E46:E48)</f>
        <v>100100</v>
      </c>
      <c r="F49" s="210">
        <f t="shared" si="6"/>
        <v>396300</v>
      </c>
      <c r="G49" s="210">
        <f t="shared" si="6"/>
        <v>594000</v>
      </c>
      <c r="H49" s="210">
        <f t="shared" si="6"/>
        <v>9700</v>
      </c>
      <c r="I49" s="210">
        <f t="shared" si="6"/>
        <v>10200</v>
      </c>
      <c r="J49" s="210">
        <f t="shared" si="6"/>
        <v>0</v>
      </c>
      <c r="K49" s="210">
        <f t="shared" si="6"/>
        <v>0</v>
      </c>
      <c r="L49" s="210">
        <f t="shared" si="6"/>
        <v>2178150</v>
      </c>
      <c r="M49" s="1121"/>
    </row>
    <row r="50" spans="1:13" s="1105" customFormat="1" ht="15.75" customHeight="1" thickTop="1" x14ac:dyDescent="0.2">
      <c r="A50" s="1039"/>
      <c r="B50" s="1097" t="s">
        <v>168</v>
      </c>
      <c r="C50" s="1108">
        <v>2300</v>
      </c>
      <c r="D50" s="305"/>
      <c r="E50" s="306"/>
      <c r="F50" s="306"/>
      <c r="G50" s="306"/>
      <c r="H50" s="306"/>
      <c r="I50" s="306"/>
      <c r="J50" s="306"/>
      <c r="K50" s="306"/>
      <c r="L50" s="307"/>
    </row>
    <row r="51" spans="1:13" ht="12" x14ac:dyDescent="0.2">
      <c r="A51" s="1039"/>
      <c r="B51" s="1101" t="s">
        <v>293</v>
      </c>
      <c r="C51" s="1102">
        <v>2310</v>
      </c>
      <c r="D51" s="293"/>
      <c r="E51" s="293">
        <v>688000</v>
      </c>
      <c r="F51" s="293">
        <v>552000</v>
      </c>
      <c r="G51" s="293"/>
      <c r="H51" s="293"/>
      <c r="I51" s="293">
        <v>137500</v>
      </c>
      <c r="J51" s="293"/>
      <c r="K51" s="293"/>
      <c r="L51" s="207">
        <f>SUM(D51:K51)</f>
        <v>1377500</v>
      </c>
    </row>
    <row r="52" spans="1:13" ht="12" x14ac:dyDescent="0.2">
      <c r="A52" s="1039"/>
      <c r="B52" s="1101" t="s">
        <v>294</v>
      </c>
      <c r="C52" s="1102">
        <v>2320</v>
      </c>
      <c r="D52" s="293">
        <v>527000</v>
      </c>
      <c r="E52" s="293">
        <v>57000</v>
      </c>
      <c r="F52" s="293">
        <v>7500</v>
      </c>
      <c r="G52" s="293">
        <v>4000</v>
      </c>
      <c r="H52" s="293"/>
      <c r="I52" s="293">
        <v>1500</v>
      </c>
      <c r="J52" s="293"/>
      <c r="K52" s="293"/>
      <c r="L52" s="207">
        <f>SUM(D52:K52)</f>
        <v>597000</v>
      </c>
    </row>
    <row r="53" spans="1:13" ht="12" x14ac:dyDescent="0.2">
      <c r="A53" s="1039"/>
      <c r="B53" s="1101" t="s">
        <v>507</v>
      </c>
      <c r="C53" s="1102">
        <v>2330</v>
      </c>
      <c r="D53" s="293">
        <v>225000</v>
      </c>
      <c r="E53" s="293">
        <v>31100</v>
      </c>
      <c r="F53" s="293">
        <v>3000</v>
      </c>
      <c r="G53" s="293">
        <v>3000</v>
      </c>
      <c r="H53" s="293"/>
      <c r="I53" s="293"/>
      <c r="J53" s="293"/>
      <c r="K53" s="293"/>
      <c r="L53" s="207">
        <f>SUM(D53:K53)</f>
        <v>262100</v>
      </c>
    </row>
    <row r="54" spans="1:13" ht="22.5" x14ac:dyDescent="0.2">
      <c r="A54" s="1039"/>
      <c r="B54" s="1335" t="s">
        <v>143</v>
      </c>
      <c r="C54" s="1336" t="s">
        <v>809</v>
      </c>
      <c r="D54" s="293"/>
      <c r="E54" s="293"/>
      <c r="F54" s="293"/>
      <c r="G54" s="293"/>
      <c r="H54" s="293"/>
      <c r="I54" s="293"/>
      <c r="J54" s="293"/>
      <c r="K54" s="293"/>
      <c r="L54" s="308">
        <f>SUM(D54:K54)</f>
        <v>0</v>
      </c>
    </row>
    <row r="55" spans="1:13" ht="12.75" thickBot="1" x14ac:dyDescent="0.25">
      <c r="A55" s="1039"/>
      <c r="B55" s="1099" t="s">
        <v>502</v>
      </c>
      <c r="C55" s="1071">
        <v>2300</v>
      </c>
      <c r="D55" s="210">
        <f>SUM(D51:D54)</f>
        <v>752000</v>
      </c>
      <c r="E55" s="210">
        <f t="shared" ref="E55:L55" si="7">SUM(E51:E54)</f>
        <v>776100</v>
      </c>
      <c r="F55" s="210">
        <f t="shared" si="7"/>
        <v>562500</v>
      </c>
      <c r="G55" s="210">
        <f t="shared" si="7"/>
        <v>7000</v>
      </c>
      <c r="H55" s="210">
        <f t="shared" si="7"/>
        <v>0</v>
      </c>
      <c r="I55" s="210">
        <f t="shared" si="7"/>
        <v>139000</v>
      </c>
      <c r="J55" s="210">
        <f t="shared" si="7"/>
        <v>0</v>
      </c>
      <c r="K55" s="210">
        <f t="shared" si="7"/>
        <v>0</v>
      </c>
      <c r="L55" s="210">
        <f t="shared" si="7"/>
        <v>2236600</v>
      </c>
      <c r="M55" s="1121"/>
    </row>
    <row r="56" spans="1:13" s="1105" customFormat="1" ht="15.75" customHeight="1" thickTop="1" x14ac:dyDescent="0.2">
      <c r="A56" s="1039"/>
      <c r="B56" s="1100" t="s">
        <v>174</v>
      </c>
      <c r="C56" s="1104">
        <v>2400</v>
      </c>
      <c r="D56" s="305"/>
      <c r="E56" s="306"/>
      <c r="F56" s="306"/>
      <c r="G56" s="306"/>
      <c r="H56" s="306"/>
      <c r="I56" s="306"/>
      <c r="J56" s="306"/>
      <c r="K56" s="306"/>
      <c r="L56" s="307"/>
    </row>
    <row r="57" spans="1:13" ht="12" x14ac:dyDescent="0.2">
      <c r="A57" s="1039"/>
      <c r="B57" s="1101" t="s">
        <v>508</v>
      </c>
      <c r="C57" s="1102">
        <v>2410</v>
      </c>
      <c r="D57" s="293">
        <v>3061300</v>
      </c>
      <c r="E57" s="293">
        <v>407400</v>
      </c>
      <c r="F57" s="293">
        <v>73250</v>
      </c>
      <c r="G57" s="293">
        <v>41800</v>
      </c>
      <c r="H57" s="293"/>
      <c r="I57" s="293"/>
      <c r="J57" s="293"/>
      <c r="K57" s="293"/>
      <c r="L57" s="207">
        <f>SUM(D57:K57)</f>
        <v>3583750</v>
      </c>
    </row>
    <row r="58" spans="1:13" ht="12" x14ac:dyDescent="0.2">
      <c r="A58" s="1039" t="s">
        <v>854</v>
      </c>
      <c r="B58" s="1103" t="s">
        <v>692</v>
      </c>
      <c r="C58" s="1102">
        <v>2490</v>
      </c>
      <c r="D58" s="293"/>
      <c r="E58" s="293"/>
      <c r="F58" s="293"/>
      <c r="G58" s="293"/>
      <c r="H58" s="293"/>
      <c r="I58" s="293"/>
      <c r="J58" s="293"/>
      <c r="K58" s="293"/>
      <c r="L58" s="207">
        <f>SUM(D58:K58)</f>
        <v>0</v>
      </c>
    </row>
    <row r="59" spans="1:13" ht="12.75" thickBot="1" x14ac:dyDescent="0.25">
      <c r="A59" s="1039"/>
      <c r="B59" s="1099" t="s">
        <v>503</v>
      </c>
      <c r="C59" s="1071">
        <v>2400</v>
      </c>
      <c r="D59" s="210">
        <f>SUM(D57:D58)</f>
        <v>3061300</v>
      </c>
      <c r="E59" s="210">
        <f t="shared" ref="E59:K59" si="8">SUM(E57:E58)</f>
        <v>407400</v>
      </c>
      <c r="F59" s="210">
        <f t="shared" si="8"/>
        <v>73250</v>
      </c>
      <c r="G59" s="210">
        <f t="shared" si="8"/>
        <v>41800</v>
      </c>
      <c r="H59" s="210">
        <f t="shared" si="8"/>
        <v>0</v>
      </c>
      <c r="I59" s="210">
        <f t="shared" si="8"/>
        <v>0</v>
      </c>
      <c r="J59" s="210">
        <f t="shared" si="8"/>
        <v>0</v>
      </c>
      <c r="K59" s="210">
        <f t="shared" si="8"/>
        <v>0</v>
      </c>
      <c r="L59" s="276">
        <f>SUM(L57:L58)</f>
        <v>3583750</v>
      </c>
      <c r="M59" s="1121"/>
    </row>
    <row r="60" spans="1:13" s="1105" customFormat="1" ht="15.75" customHeight="1" thickTop="1" x14ac:dyDescent="0.2">
      <c r="A60" s="1039"/>
      <c r="B60" s="1100" t="s">
        <v>223</v>
      </c>
      <c r="C60" s="1624">
        <v>2500</v>
      </c>
      <c r="D60" s="305"/>
      <c r="E60" s="306"/>
      <c r="F60" s="306"/>
      <c r="G60" s="306"/>
      <c r="H60" s="306"/>
      <c r="I60" s="306"/>
      <c r="J60" s="306"/>
      <c r="K60" s="306"/>
      <c r="L60" s="307"/>
    </row>
    <row r="61" spans="1:13" ht="12" x14ac:dyDescent="0.2">
      <c r="A61" s="1039"/>
      <c r="B61" s="1082" t="s">
        <v>361</v>
      </c>
      <c r="C61" s="1083">
        <v>2510</v>
      </c>
      <c r="D61" s="293">
        <v>132400</v>
      </c>
      <c r="E61" s="293">
        <v>27000</v>
      </c>
      <c r="F61" s="293">
        <v>3000</v>
      </c>
      <c r="G61" s="293">
        <v>6000</v>
      </c>
      <c r="H61" s="293"/>
      <c r="I61" s="293">
        <v>5000</v>
      </c>
      <c r="J61" s="293"/>
      <c r="K61" s="293"/>
      <c r="L61" s="207">
        <f t="shared" ref="L61:L66" si="9">SUM(D61:K61)</f>
        <v>173400</v>
      </c>
    </row>
    <row r="62" spans="1:13" ht="12" x14ac:dyDescent="0.2">
      <c r="A62" s="1039"/>
      <c r="B62" s="1082" t="s">
        <v>362</v>
      </c>
      <c r="C62" s="1083">
        <v>2520</v>
      </c>
      <c r="D62" s="293">
        <v>668000</v>
      </c>
      <c r="E62" s="293">
        <v>100000</v>
      </c>
      <c r="F62" s="293">
        <v>79000</v>
      </c>
      <c r="G62" s="293">
        <v>3000</v>
      </c>
      <c r="H62" s="293"/>
      <c r="I62" s="293">
        <v>53000</v>
      </c>
      <c r="J62" s="293"/>
      <c r="K62" s="293"/>
      <c r="L62" s="207">
        <f t="shared" si="9"/>
        <v>903000</v>
      </c>
    </row>
    <row r="63" spans="1:13" ht="12" x14ac:dyDescent="0.2">
      <c r="A63" s="1039"/>
      <c r="B63" s="1082" t="s">
        <v>363</v>
      </c>
      <c r="C63" s="1083">
        <v>2540</v>
      </c>
      <c r="D63" s="293">
        <v>108000</v>
      </c>
      <c r="E63" s="293">
        <v>13000</v>
      </c>
      <c r="F63" s="293"/>
      <c r="G63" s="293">
        <v>10000</v>
      </c>
      <c r="H63" s="293"/>
      <c r="I63" s="293"/>
      <c r="J63" s="293"/>
      <c r="K63" s="293"/>
      <c r="L63" s="207">
        <f t="shared" si="9"/>
        <v>131000</v>
      </c>
    </row>
    <row r="64" spans="1:13" ht="12" x14ac:dyDescent="0.2">
      <c r="A64" s="1039"/>
      <c r="B64" s="1082" t="s">
        <v>364</v>
      </c>
      <c r="C64" s="1083">
        <v>2550</v>
      </c>
      <c r="D64" s="293"/>
      <c r="E64" s="293"/>
      <c r="F64" s="293">
        <v>16000</v>
      </c>
      <c r="G64" s="293"/>
      <c r="H64" s="293"/>
      <c r="I64" s="293"/>
      <c r="J64" s="293"/>
      <c r="K64" s="293"/>
      <c r="L64" s="207">
        <f t="shared" si="9"/>
        <v>16000</v>
      </c>
    </row>
    <row r="65" spans="1:13" ht="12" x14ac:dyDescent="0.2">
      <c r="A65" s="1039"/>
      <c r="B65" s="1082" t="s">
        <v>365</v>
      </c>
      <c r="C65" s="1083">
        <v>2560</v>
      </c>
      <c r="D65" s="293">
        <v>710000</v>
      </c>
      <c r="E65" s="293">
        <v>287800</v>
      </c>
      <c r="F65" s="293">
        <v>34300</v>
      </c>
      <c r="G65" s="293">
        <v>1066750</v>
      </c>
      <c r="H65" s="293">
        <v>5000</v>
      </c>
      <c r="I65" s="293"/>
      <c r="J65" s="293"/>
      <c r="K65" s="293"/>
      <c r="L65" s="207">
        <f t="shared" si="9"/>
        <v>2103850</v>
      </c>
    </row>
    <row r="66" spans="1:13" ht="12" x14ac:dyDescent="0.2">
      <c r="A66" s="1039"/>
      <c r="B66" s="1082" t="s">
        <v>366</v>
      </c>
      <c r="C66" s="1083">
        <v>2570</v>
      </c>
      <c r="D66" s="293">
        <v>79000</v>
      </c>
      <c r="E66" s="293">
        <v>20000</v>
      </c>
      <c r="F66" s="293">
        <v>100000</v>
      </c>
      <c r="G66" s="293">
        <v>13000</v>
      </c>
      <c r="H66" s="293"/>
      <c r="I66" s="293"/>
      <c r="J66" s="293"/>
      <c r="K66" s="293"/>
      <c r="L66" s="207">
        <f t="shared" si="9"/>
        <v>212000</v>
      </c>
    </row>
    <row r="67" spans="1:13" ht="12.75" thickBot="1" x14ac:dyDescent="0.25">
      <c r="A67" s="1039"/>
      <c r="B67" s="1093" t="s">
        <v>504</v>
      </c>
      <c r="C67" s="1096">
        <v>2500</v>
      </c>
      <c r="D67" s="309">
        <f>SUM(D61:D66)</f>
        <v>1697400</v>
      </c>
      <c r="E67" s="309">
        <f t="shared" ref="E67:L67" si="10">SUM(E61:E66)</f>
        <v>447800</v>
      </c>
      <c r="F67" s="309">
        <f t="shared" si="10"/>
        <v>232300</v>
      </c>
      <c r="G67" s="309">
        <f t="shared" si="10"/>
        <v>1098750</v>
      </c>
      <c r="H67" s="309">
        <f t="shared" si="10"/>
        <v>5000</v>
      </c>
      <c r="I67" s="309">
        <f t="shared" si="10"/>
        <v>58000</v>
      </c>
      <c r="J67" s="309">
        <f t="shared" si="10"/>
        <v>0</v>
      </c>
      <c r="K67" s="309">
        <f t="shared" si="10"/>
        <v>0</v>
      </c>
      <c r="L67" s="309">
        <f t="shared" si="10"/>
        <v>3539250</v>
      </c>
      <c r="M67" s="1121"/>
    </row>
    <row r="68" spans="1:13" s="1105" customFormat="1" ht="15.75" customHeight="1" thickTop="1" x14ac:dyDescent="0.2">
      <c r="A68" s="1039"/>
      <c r="B68" s="1097" t="s">
        <v>175</v>
      </c>
      <c r="C68" s="1098" t="s">
        <v>738</v>
      </c>
      <c r="D68" s="310"/>
      <c r="E68" s="311"/>
      <c r="F68" s="311"/>
      <c r="G68" s="311"/>
      <c r="H68" s="311"/>
      <c r="I68" s="311"/>
      <c r="J68" s="311"/>
      <c r="K68" s="311"/>
      <c r="L68" s="312"/>
    </row>
    <row r="69" spans="1:13" ht="12" x14ac:dyDescent="0.2">
      <c r="A69" s="1039"/>
      <c r="B69" s="1082" t="s">
        <v>367</v>
      </c>
      <c r="C69" s="1083">
        <v>2610</v>
      </c>
      <c r="D69" s="293"/>
      <c r="E69" s="293"/>
      <c r="F69" s="293"/>
      <c r="G69" s="293"/>
      <c r="H69" s="293"/>
      <c r="I69" s="293"/>
      <c r="J69" s="293"/>
      <c r="K69" s="293"/>
      <c r="L69" s="207">
        <f>SUM(D69:K69)</f>
        <v>0</v>
      </c>
    </row>
    <row r="70" spans="1:13" ht="12" x14ac:dyDescent="0.2">
      <c r="A70" s="1039"/>
      <c r="B70" s="1082" t="s">
        <v>410</v>
      </c>
      <c r="C70" s="1083">
        <v>2620</v>
      </c>
      <c r="D70" s="293">
        <v>197000</v>
      </c>
      <c r="E70" s="293">
        <v>25900</v>
      </c>
      <c r="F70" s="293">
        <v>4000</v>
      </c>
      <c r="G70" s="293">
        <v>1500</v>
      </c>
      <c r="H70" s="293"/>
      <c r="I70" s="293"/>
      <c r="J70" s="293"/>
      <c r="K70" s="293"/>
      <c r="L70" s="207">
        <f t="shared" ref="L70:L77" si="11">SUM(D70:K70)</f>
        <v>228400</v>
      </c>
    </row>
    <row r="71" spans="1:13" ht="12" x14ac:dyDescent="0.2">
      <c r="A71" s="1039"/>
      <c r="B71" s="1082" t="s">
        <v>443</v>
      </c>
      <c r="C71" s="1083">
        <v>2630</v>
      </c>
      <c r="D71" s="293">
        <v>273000</v>
      </c>
      <c r="E71" s="293">
        <v>18900</v>
      </c>
      <c r="F71" s="293">
        <v>24800</v>
      </c>
      <c r="G71" s="293">
        <v>10100</v>
      </c>
      <c r="H71" s="293"/>
      <c r="I71" s="293"/>
      <c r="J71" s="293"/>
      <c r="K71" s="293"/>
      <c r="L71" s="207">
        <f t="shared" si="11"/>
        <v>326800</v>
      </c>
    </row>
    <row r="72" spans="1:13" ht="12" x14ac:dyDescent="0.2">
      <c r="A72" s="1039"/>
      <c r="B72" s="1082" t="s">
        <v>460</v>
      </c>
      <c r="C72" s="1083">
        <v>2640</v>
      </c>
      <c r="D72" s="293">
        <v>768000</v>
      </c>
      <c r="E72" s="293">
        <v>80200</v>
      </c>
      <c r="F72" s="293">
        <v>278100</v>
      </c>
      <c r="G72" s="293">
        <v>18550</v>
      </c>
      <c r="H72" s="293"/>
      <c r="I72" s="293"/>
      <c r="J72" s="293"/>
      <c r="K72" s="293"/>
      <c r="L72" s="207">
        <f t="shared" si="11"/>
        <v>1144850</v>
      </c>
    </row>
    <row r="73" spans="1:13" ht="12" x14ac:dyDescent="0.2">
      <c r="A73" s="1039"/>
      <c r="B73" s="1082" t="s">
        <v>461</v>
      </c>
      <c r="C73" s="1083">
        <v>2660</v>
      </c>
      <c r="D73" s="293">
        <v>1010000</v>
      </c>
      <c r="E73" s="293">
        <v>120900</v>
      </c>
      <c r="F73" s="293">
        <v>414700</v>
      </c>
      <c r="G73" s="293">
        <v>25000</v>
      </c>
      <c r="H73" s="293">
        <v>72000</v>
      </c>
      <c r="I73" s="293"/>
      <c r="J73" s="293"/>
      <c r="K73" s="293"/>
      <c r="L73" s="207">
        <f t="shared" si="11"/>
        <v>1642600</v>
      </c>
    </row>
    <row r="74" spans="1:13" ht="12.75" thickBot="1" x14ac:dyDescent="0.25">
      <c r="A74" s="1039"/>
      <c r="B74" s="1093" t="s">
        <v>505</v>
      </c>
      <c r="C74" s="1096">
        <v>2600</v>
      </c>
      <c r="D74" s="313">
        <f>SUM(D69:D73)</f>
        <v>2248000</v>
      </c>
      <c r="E74" s="313">
        <f t="shared" ref="E74:K74" si="12">SUM(E69:E73)</f>
        <v>245900</v>
      </c>
      <c r="F74" s="313">
        <f t="shared" si="12"/>
        <v>721600</v>
      </c>
      <c r="G74" s="313">
        <f t="shared" si="12"/>
        <v>55150</v>
      </c>
      <c r="H74" s="313">
        <f t="shared" si="12"/>
        <v>72000</v>
      </c>
      <c r="I74" s="313">
        <f t="shared" si="12"/>
        <v>0</v>
      </c>
      <c r="J74" s="313">
        <f t="shared" si="12"/>
        <v>0</v>
      </c>
      <c r="K74" s="313">
        <f t="shared" si="12"/>
        <v>0</v>
      </c>
      <c r="L74" s="313">
        <f>SUM(L69:L73)</f>
        <v>3342650</v>
      </c>
      <c r="M74" s="1121"/>
    </row>
    <row r="75" spans="1:13" s="1105" customFormat="1" ht="15.75" customHeight="1" thickTop="1" x14ac:dyDescent="0.2">
      <c r="A75" s="1039" t="s">
        <v>855</v>
      </c>
      <c r="B75" s="1094" t="s">
        <v>891</v>
      </c>
      <c r="C75" s="1095">
        <v>2900</v>
      </c>
      <c r="D75" s="293"/>
      <c r="E75" s="293"/>
      <c r="F75" s="293">
        <v>200000</v>
      </c>
      <c r="G75" s="293">
        <v>69850</v>
      </c>
      <c r="H75" s="293">
        <v>20000</v>
      </c>
      <c r="I75" s="293">
        <v>1500000</v>
      </c>
      <c r="J75" s="293"/>
      <c r="K75" s="293"/>
      <c r="L75" s="314">
        <f t="shared" si="11"/>
        <v>1789850</v>
      </c>
    </row>
    <row r="76" spans="1:13" ht="12.75" thickBot="1" x14ac:dyDescent="0.25">
      <c r="A76" s="1039"/>
      <c r="B76" s="1093" t="s">
        <v>506</v>
      </c>
      <c r="C76" s="1071">
        <v>2000</v>
      </c>
      <c r="D76" s="313">
        <f>SUM(D44,D49,D55,D59,D67,D74,D75)</f>
        <v>16561050</v>
      </c>
      <c r="E76" s="313">
        <f t="shared" ref="E76:K76" si="13">SUM(E44,E49,E55,E59,E67,E74,E75)</f>
        <v>2757900</v>
      </c>
      <c r="F76" s="313">
        <f t="shared" si="13"/>
        <v>2592950</v>
      </c>
      <c r="G76" s="313">
        <f t="shared" si="13"/>
        <v>2040750</v>
      </c>
      <c r="H76" s="313">
        <f t="shared" si="13"/>
        <v>159700</v>
      </c>
      <c r="I76" s="313">
        <f t="shared" si="13"/>
        <v>1723800</v>
      </c>
      <c r="J76" s="313">
        <f t="shared" si="13"/>
        <v>0</v>
      </c>
      <c r="K76" s="313">
        <f t="shared" si="13"/>
        <v>0</v>
      </c>
      <c r="L76" s="315">
        <f t="shared" si="11"/>
        <v>25836150</v>
      </c>
      <c r="M76" s="1121"/>
    </row>
    <row r="77" spans="1:13" s="1105" customFormat="1" ht="13.5" thickTop="1" thickBot="1" x14ac:dyDescent="0.25">
      <c r="A77" s="1039"/>
      <c r="B77" s="1091" t="s">
        <v>153</v>
      </c>
      <c r="C77" s="1092">
        <v>3000</v>
      </c>
      <c r="D77" s="293"/>
      <c r="E77" s="293"/>
      <c r="F77" s="293"/>
      <c r="G77" s="293"/>
      <c r="H77" s="293"/>
      <c r="I77" s="293"/>
      <c r="J77" s="293"/>
      <c r="K77" s="293"/>
      <c r="L77" s="277">
        <f t="shared" si="11"/>
        <v>0</v>
      </c>
    </row>
    <row r="78" spans="1:13" ht="12.75" thickTop="1" x14ac:dyDescent="0.2">
      <c r="A78" s="1039"/>
      <c r="B78" s="1087" t="s">
        <v>609</v>
      </c>
      <c r="C78" s="1088">
        <v>4000</v>
      </c>
      <c r="D78" s="316"/>
      <c r="E78" s="317"/>
      <c r="F78" s="317"/>
      <c r="G78" s="317"/>
      <c r="H78" s="317"/>
      <c r="I78" s="317"/>
      <c r="J78" s="317"/>
      <c r="K78" s="317"/>
      <c r="L78" s="318"/>
    </row>
    <row r="79" spans="1:13" s="1105" customFormat="1" ht="12" x14ac:dyDescent="0.2">
      <c r="A79" s="1039"/>
      <c r="B79" s="1089" t="s">
        <v>608</v>
      </c>
      <c r="C79" s="1346">
        <v>4100</v>
      </c>
      <c r="D79" s="319"/>
      <c r="E79" s="320"/>
      <c r="F79" s="320"/>
      <c r="G79" s="320"/>
      <c r="H79" s="320"/>
      <c r="I79" s="320"/>
      <c r="J79" s="320"/>
      <c r="K79" s="320"/>
      <c r="L79" s="321"/>
    </row>
    <row r="80" spans="1:13" ht="12" x14ac:dyDescent="0.2">
      <c r="A80" s="1039"/>
      <c r="B80" s="1082" t="s">
        <v>517</v>
      </c>
      <c r="C80" s="1083">
        <v>4110</v>
      </c>
      <c r="D80" s="322"/>
      <c r="E80" s="323"/>
      <c r="F80" s="293"/>
      <c r="G80" s="322"/>
      <c r="H80" s="323"/>
      <c r="I80" s="293">
        <v>2000</v>
      </c>
      <c r="J80" s="322"/>
      <c r="K80" s="322"/>
      <c r="L80" s="289">
        <f t="shared" ref="L80:L85" si="14">SUM(D80:K80)</f>
        <v>2000</v>
      </c>
    </row>
    <row r="81" spans="1:13" ht="12" x14ac:dyDescent="0.2">
      <c r="A81" s="1039"/>
      <c r="B81" s="1084" t="s">
        <v>226</v>
      </c>
      <c r="C81" s="1625">
        <v>4120</v>
      </c>
      <c r="D81" s="324"/>
      <c r="E81" s="251"/>
      <c r="F81" s="293"/>
      <c r="G81" s="251"/>
      <c r="H81" s="250"/>
      <c r="I81" s="293">
        <v>1200000</v>
      </c>
      <c r="J81" s="251"/>
      <c r="K81" s="251"/>
      <c r="L81" s="207">
        <f t="shared" si="14"/>
        <v>1200000</v>
      </c>
    </row>
    <row r="82" spans="1:13" ht="12" x14ac:dyDescent="0.2">
      <c r="A82" s="1039"/>
      <c r="B82" s="1072" t="s">
        <v>411</v>
      </c>
      <c r="C82" s="1085">
        <v>4130</v>
      </c>
      <c r="D82" s="324"/>
      <c r="E82" s="251"/>
      <c r="F82" s="293"/>
      <c r="G82" s="251"/>
      <c r="H82" s="250"/>
      <c r="I82" s="293"/>
      <c r="J82" s="251"/>
      <c r="K82" s="251"/>
      <c r="L82" s="207">
        <f t="shared" si="14"/>
        <v>0</v>
      </c>
    </row>
    <row r="83" spans="1:13" ht="12" x14ac:dyDescent="0.2">
      <c r="A83" s="1039"/>
      <c r="B83" s="1072" t="s">
        <v>196</v>
      </c>
      <c r="C83" s="1085">
        <v>4140</v>
      </c>
      <c r="D83" s="324"/>
      <c r="E83" s="251"/>
      <c r="F83" s="293"/>
      <c r="G83" s="251"/>
      <c r="H83" s="250"/>
      <c r="I83" s="293"/>
      <c r="J83" s="251"/>
      <c r="K83" s="251"/>
      <c r="L83" s="207">
        <f t="shared" si="14"/>
        <v>0</v>
      </c>
    </row>
    <row r="84" spans="1:13" ht="12" x14ac:dyDescent="0.2">
      <c r="A84" s="1039"/>
      <c r="B84" s="1072" t="s">
        <v>254</v>
      </c>
      <c r="C84" s="1085">
        <v>4170</v>
      </c>
      <c r="D84" s="324"/>
      <c r="E84" s="251"/>
      <c r="F84" s="293"/>
      <c r="G84" s="251"/>
      <c r="H84" s="250"/>
      <c r="I84" s="293"/>
      <c r="J84" s="251"/>
      <c r="K84" s="251"/>
      <c r="L84" s="207">
        <f t="shared" si="14"/>
        <v>0</v>
      </c>
    </row>
    <row r="85" spans="1:13" ht="12" x14ac:dyDescent="0.2">
      <c r="A85" s="1039" t="s">
        <v>856</v>
      </c>
      <c r="B85" s="1086" t="s">
        <v>893</v>
      </c>
      <c r="C85" s="1085">
        <v>4190</v>
      </c>
      <c r="D85" s="324"/>
      <c r="E85" s="251"/>
      <c r="F85" s="293"/>
      <c r="G85" s="251"/>
      <c r="H85" s="250"/>
      <c r="I85" s="293"/>
      <c r="J85" s="251"/>
      <c r="K85" s="251"/>
      <c r="L85" s="207">
        <f t="shared" si="14"/>
        <v>0</v>
      </c>
    </row>
    <row r="86" spans="1:13" ht="12.75" thickBot="1" x14ac:dyDescent="0.25">
      <c r="A86" s="1039"/>
      <c r="B86" s="1081" t="s">
        <v>613</v>
      </c>
      <c r="C86" s="1063">
        <v>4100</v>
      </c>
      <c r="D86" s="324"/>
      <c r="E86" s="251"/>
      <c r="F86" s="325">
        <f>SUM(F80:F85)</f>
        <v>0</v>
      </c>
      <c r="G86" s="251"/>
      <c r="H86" s="250"/>
      <c r="I86" s="263">
        <f>SUM(I80:I85)</f>
        <v>1202000</v>
      </c>
      <c r="J86" s="251"/>
      <c r="K86" s="251"/>
      <c r="L86" s="263">
        <f>SUM(L80:L85)</f>
        <v>1202000</v>
      </c>
      <c r="M86" s="1121"/>
    </row>
    <row r="87" spans="1:13" ht="12.75" thickTop="1" x14ac:dyDescent="0.2">
      <c r="A87" s="1039"/>
      <c r="B87" s="1075" t="s">
        <v>243</v>
      </c>
      <c r="C87" s="1076">
        <v>4210</v>
      </c>
      <c r="D87" s="324"/>
      <c r="E87" s="251"/>
      <c r="F87" s="251"/>
      <c r="G87" s="251"/>
      <c r="H87" s="250"/>
      <c r="I87" s="293"/>
      <c r="J87" s="251"/>
      <c r="K87" s="251"/>
      <c r="L87" s="289">
        <f>SUM(D87:K87)</f>
        <v>0</v>
      </c>
    </row>
    <row r="88" spans="1:13" ht="12" x14ac:dyDescent="0.2">
      <c r="A88" s="1039"/>
      <c r="B88" s="1077" t="s">
        <v>183</v>
      </c>
      <c r="C88" s="1078">
        <v>4220</v>
      </c>
      <c r="D88" s="324"/>
      <c r="E88" s="251"/>
      <c r="F88" s="251"/>
      <c r="G88" s="251"/>
      <c r="H88" s="250"/>
      <c r="I88" s="293"/>
      <c r="J88" s="251"/>
      <c r="K88" s="251"/>
      <c r="L88" s="289">
        <f t="shared" ref="L88:L101" si="15">SUM(D88:K88)</f>
        <v>0</v>
      </c>
    </row>
    <row r="89" spans="1:13" ht="12" x14ac:dyDescent="0.2">
      <c r="A89" s="1039"/>
      <c r="B89" s="1079" t="s">
        <v>184</v>
      </c>
      <c r="C89" s="1078">
        <v>4230</v>
      </c>
      <c r="D89" s="324"/>
      <c r="E89" s="251"/>
      <c r="F89" s="251"/>
      <c r="G89" s="251"/>
      <c r="H89" s="250"/>
      <c r="I89" s="293"/>
      <c r="J89" s="251"/>
      <c r="K89" s="251"/>
      <c r="L89" s="289">
        <f t="shared" si="15"/>
        <v>0</v>
      </c>
    </row>
    <row r="90" spans="1:13" ht="12" x14ac:dyDescent="0.2">
      <c r="A90" s="1039"/>
      <c r="B90" s="1077" t="s">
        <v>185</v>
      </c>
      <c r="C90" s="1078">
        <v>4240</v>
      </c>
      <c r="D90" s="324"/>
      <c r="E90" s="251"/>
      <c r="F90" s="251"/>
      <c r="G90" s="251"/>
      <c r="H90" s="250"/>
      <c r="I90" s="293"/>
      <c r="J90" s="251"/>
      <c r="K90" s="251"/>
      <c r="L90" s="289">
        <f t="shared" si="15"/>
        <v>0</v>
      </c>
    </row>
    <row r="91" spans="1:13" ht="12" x14ac:dyDescent="0.2">
      <c r="A91" s="1039"/>
      <c r="B91" s="1077" t="s">
        <v>186</v>
      </c>
      <c r="C91" s="1078">
        <v>4270</v>
      </c>
      <c r="D91" s="324"/>
      <c r="E91" s="251"/>
      <c r="F91" s="251"/>
      <c r="G91" s="251"/>
      <c r="H91" s="250"/>
      <c r="I91" s="293"/>
      <c r="J91" s="251"/>
      <c r="K91" s="251"/>
      <c r="L91" s="289">
        <f t="shared" si="15"/>
        <v>0</v>
      </c>
    </row>
    <row r="92" spans="1:13" ht="12" x14ac:dyDescent="0.2">
      <c r="A92" s="1039"/>
      <c r="B92" s="1077" t="s">
        <v>187</v>
      </c>
      <c r="C92" s="1078">
        <v>4280</v>
      </c>
      <c r="D92" s="324"/>
      <c r="E92" s="251"/>
      <c r="F92" s="251"/>
      <c r="G92" s="251"/>
      <c r="H92" s="250"/>
      <c r="I92" s="293"/>
      <c r="J92" s="251"/>
      <c r="K92" s="251"/>
      <c r="L92" s="289">
        <f t="shared" si="15"/>
        <v>0</v>
      </c>
    </row>
    <row r="93" spans="1:13" ht="12" x14ac:dyDescent="0.2">
      <c r="A93" s="1039" t="s">
        <v>858</v>
      </c>
      <c r="B93" s="1079" t="s">
        <v>892</v>
      </c>
      <c r="C93" s="1080">
        <v>4290</v>
      </c>
      <c r="D93" s="324"/>
      <c r="E93" s="251"/>
      <c r="F93" s="251"/>
      <c r="G93" s="251"/>
      <c r="H93" s="250"/>
      <c r="I93" s="293"/>
      <c r="J93" s="251"/>
      <c r="K93" s="251"/>
      <c r="L93" s="289">
        <f t="shared" si="15"/>
        <v>0</v>
      </c>
    </row>
    <row r="94" spans="1:13" ht="12.75" thickBot="1" x14ac:dyDescent="0.25">
      <c r="A94" s="1039"/>
      <c r="B94" s="1062" t="s">
        <v>635</v>
      </c>
      <c r="C94" s="1063">
        <v>4200</v>
      </c>
      <c r="D94" s="324"/>
      <c r="E94" s="251"/>
      <c r="F94" s="251"/>
      <c r="G94" s="251"/>
      <c r="H94" s="250"/>
      <c r="I94" s="326">
        <f>SUM(I87:I93)</f>
        <v>0</v>
      </c>
      <c r="J94" s="251"/>
      <c r="K94" s="251"/>
      <c r="L94" s="326">
        <f>SUM(L87:L93)</f>
        <v>0</v>
      </c>
      <c r="M94" s="1121"/>
    </row>
    <row r="95" spans="1:13" ht="12.75" thickTop="1" x14ac:dyDescent="0.2">
      <c r="A95" s="1039"/>
      <c r="B95" s="1073" t="s">
        <v>188</v>
      </c>
      <c r="C95" s="1074">
        <v>4310</v>
      </c>
      <c r="D95" s="324"/>
      <c r="E95" s="251"/>
      <c r="F95" s="251"/>
      <c r="G95" s="251"/>
      <c r="H95" s="250"/>
      <c r="I95" s="293"/>
      <c r="J95" s="251"/>
      <c r="K95" s="251"/>
      <c r="L95" s="289">
        <f t="shared" si="15"/>
        <v>0</v>
      </c>
    </row>
    <row r="96" spans="1:13" ht="12" x14ac:dyDescent="0.2">
      <c r="A96" s="1039"/>
      <c r="B96" s="1072" t="s">
        <v>189</v>
      </c>
      <c r="C96" s="809">
        <v>4320</v>
      </c>
      <c r="D96" s="324"/>
      <c r="E96" s="251"/>
      <c r="F96" s="251"/>
      <c r="G96" s="251"/>
      <c r="H96" s="250"/>
      <c r="I96" s="293"/>
      <c r="J96" s="251"/>
      <c r="K96" s="251"/>
      <c r="L96" s="289">
        <f t="shared" si="15"/>
        <v>0</v>
      </c>
    </row>
    <row r="97" spans="1:13" ht="12" x14ac:dyDescent="0.2">
      <c r="A97" s="1039"/>
      <c r="B97" s="1072" t="s">
        <v>190</v>
      </c>
      <c r="C97" s="809">
        <v>4330</v>
      </c>
      <c r="D97" s="324"/>
      <c r="E97" s="251"/>
      <c r="F97" s="251"/>
      <c r="G97" s="251"/>
      <c r="H97" s="250"/>
      <c r="I97" s="293"/>
      <c r="J97" s="251"/>
      <c r="K97" s="251"/>
      <c r="L97" s="289">
        <f t="shared" si="15"/>
        <v>0</v>
      </c>
    </row>
    <row r="98" spans="1:13" ht="12" x14ac:dyDescent="0.2">
      <c r="A98" s="1039"/>
      <c r="B98" s="1072" t="s">
        <v>191</v>
      </c>
      <c r="C98" s="809">
        <v>4340</v>
      </c>
      <c r="D98" s="324"/>
      <c r="E98" s="251"/>
      <c r="F98" s="251"/>
      <c r="G98" s="251"/>
      <c r="H98" s="250"/>
      <c r="I98" s="293"/>
      <c r="J98" s="251"/>
      <c r="K98" s="251"/>
      <c r="L98" s="289">
        <f t="shared" si="15"/>
        <v>0</v>
      </c>
    </row>
    <row r="99" spans="1:13" ht="12" x14ac:dyDescent="0.2">
      <c r="A99" s="1039"/>
      <c r="B99" s="1072" t="s">
        <v>192</v>
      </c>
      <c r="C99" s="809">
        <v>4370</v>
      </c>
      <c r="D99" s="324"/>
      <c r="E99" s="251"/>
      <c r="F99" s="251"/>
      <c r="G99" s="251"/>
      <c r="H99" s="250"/>
      <c r="I99" s="293"/>
      <c r="J99" s="251"/>
      <c r="K99" s="251"/>
      <c r="L99" s="289">
        <f t="shared" si="15"/>
        <v>0</v>
      </c>
    </row>
    <row r="100" spans="1:13" ht="12" x14ac:dyDescent="0.2">
      <c r="A100" s="1039"/>
      <c r="B100" s="1072" t="s">
        <v>193</v>
      </c>
      <c r="C100" s="809">
        <v>4380</v>
      </c>
      <c r="D100" s="324"/>
      <c r="E100" s="251"/>
      <c r="F100" s="257"/>
      <c r="G100" s="251"/>
      <c r="H100" s="250"/>
      <c r="I100" s="293"/>
      <c r="J100" s="251"/>
      <c r="K100" s="251"/>
      <c r="L100" s="289">
        <f t="shared" si="15"/>
        <v>0</v>
      </c>
    </row>
    <row r="101" spans="1:13" ht="12" x14ac:dyDescent="0.2">
      <c r="A101" s="1039" t="s">
        <v>859</v>
      </c>
      <c r="B101" s="1072" t="s">
        <v>693</v>
      </c>
      <c r="C101" s="809">
        <v>4390</v>
      </c>
      <c r="D101" s="324"/>
      <c r="E101" s="251"/>
      <c r="F101" s="256"/>
      <c r="G101" s="251"/>
      <c r="H101" s="250"/>
      <c r="I101" s="293"/>
      <c r="J101" s="251"/>
      <c r="K101" s="251"/>
      <c r="L101" s="289">
        <f t="shared" si="15"/>
        <v>0</v>
      </c>
    </row>
    <row r="102" spans="1:13" ht="12.75" thickBot="1" x14ac:dyDescent="0.25">
      <c r="A102" s="1039"/>
      <c r="B102" s="1070" t="s">
        <v>636</v>
      </c>
      <c r="C102" s="1071">
        <v>4300</v>
      </c>
      <c r="D102" s="324"/>
      <c r="E102" s="251"/>
      <c r="F102" s="263">
        <f>SUM(F95:F101)</f>
        <v>0</v>
      </c>
      <c r="G102" s="251"/>
      <c r="H102" s="250"/>
      <c r="I102" s="263">
        <f>SUM(I95:I101)</f>
        <v>0</v>
      </c>
      <c r="J102" s="251"/>
      <c r="K102" s="251"/>
      <c r="L102" s="263">
        <f>SUM(L95:L101)</f>
        <v>0</v>
      </c>
      <c r="M102" s="1121"/>
    </row>
    <row r="103" spans="1:13" ht="12.75" thickTop="1" x14ac:dyDescent="0.2">
      <c r="A103" s="1039"/>
      <c r="B103" s="1068" t="s">
        <v>610</v>
      </c>
      <c r="C103" s="1069">
        <v>4400</v>
      </c>
      <c r="D103" s="324"/>
      <c r="E103" s="251"/>
      <c r="F103" s="327"/>
      <c r="G103" s="251"/>
      <c r="H103" s="250"/>
      <c r="I103" s="327"/>
      <c r="J103" s="251"/>
      <c r="K103" s="251"/>
      <c r="L103" s="328">
        <f>SUM(D103:K103)</f>
        <v>0</v>
      </c>
    </row>
    <row r="104" spans="1:13" ht="12.75" thickBot="1" x14ac:dyDescent="0.25">
      <c r="A104" s="1039"/>
      <c r="B104" s="1062" t="s">
        <v>611</v>
      </c>
      <c r="C104" s="1063">
        <v>4000</v>
      </c>
      <c r="D104" s="324"/>
      <c r="E104" s="251"/>
      <c r="F104" s="263">
        <f>SUM(F86,F94,F102,F103)</f>
        <v>0</v>
      </c>
      <c r="G104" s="251"/>
      <c r="H104" s="250"/>
      <c r="I104" s="263">
        <f>SUM(I86,I94,I102,I103)</f>
        <v>1202000</v>
      </c>
      <c r="J104" s="251"/>
      <c r="K104" s="251"/>
      <c r="L104" s="263">
        <f>SUM(L86,L94,L102,L103)</f>
        <v>1202000</v>
      </c>
      <c r="M104" s="1121"/>
    </row>
    <row r="105" spans="1:13" s="1105" customFormat="1" ht="12.75" thickTop="1" x14ac:dyDescent="0.2">
      <c r="A105" s="1039"/>
      <c r="B105" s="1332" t="s">
        <v>37</v>
      </c>
      <c r="C105" s="1333">
        <v>5000</v>
      </c>
      <c r="D105" s="329"/>
      <c r="E105" s="330"/>
      <c r="F105" s="331"/>
      <c r="G105" s="330"/>
      <c r="H105" s="330"/>
      <c r="I105" s="331"/>
      <c r="J105" s="330"/>
      <c r="K105" s="330"/>
      <c r="L105" s="332"/>
    </row>
    <row r="106" spans="1:13" ht="15.75" customHeight="1" x14ac:dyDescent="0.2">
      <c r="A106" s="1039"/>
      <c r="B106" s="1334" t="s">
        <v>198</v>
      </c>
      <c r="C106" s="1347">
        <v>5100</v>
      </c>
      <c r="D106" s="319"/>
      <c r="E106" s="320"/>
      <c r="F106" s="320"/>
      <c r="G106" s="320"/>
      <c r="H106" s="320"/>
      <c r="I106" s="320"/>
      <c r="J106" s="320"/>
      <c r="K106" s="320"/>
      <c r="L106" s="321"/>
    </row>
    <row r="107" spans="1:13" ht="12" x14ac:dyDescent="0.2">
      <c r="A107" s="1039"/>
      <c r="B107" s="1072" t="s">
        <v>295</v>
      </c>
      <c r="C107" s="1085">
        <v>5110</v>
      </c>
      <c r="D107" s="251"/>
      <c r="E107" s="251"/>
      <c r="F107" s="250"/>
      <c r="G107" s="251"/>
      <c r="H107" s="251"/>
      <c r="I107" s="293"/>
      <c r="J107" s="251"/>
      <c r="K107" s="251"/>
      <c r="L107" s="207">
        <f>SUM(D107:K107)</f>
        <v>0</v>
      </c>
    </row>
    <row r="108" spans="1:13" ht="12" x14ac:dyDescent="0.2">
      <c r="A108" s="1039"/>
      <c r="B108" s="1072" t="s">
        <v>396</v>
      </c>
      <c r="C108" s="1085">
        <v>5120</v>
      </c>
      <c r="D108" s="251"/>
      <c r="E108" s="251"/>
      <c r="F108" s="250"/>
      <c r="G108" s="251"/>
      <c r="H108" s="251"/>
      <c r="I108" s="293"/>
      <c r="J108" s="251"/>
      <c r="K108" s="251"/>
      <c r="L108" s="207">
        <f>SUM(D108:K108)</f>
        <v>0</v>
      </c>
    </row>
    <row r="109" spans="1:13" ht="12" x14ac:dyDescent="0.2">
      <c r="A109" s="1039"/>
      <c r="B109" s="1072" t="s">
        <v>345</v>
      </c>
      <c r="C109" s="1085">
        <v>5130</v>
      </c>
      <c r="D109" s="251"/>
      <c r="E109" s="251"/>
      <c r="F109" s="250"/>
      <c r="G109" s="251"/>
      <c r="H109" s="251"/>
      <c r="I109" s="293"/>
      <c r="J109" s="251"/>
      <c r="K109" s="251"/>
      <c r="L109" s="207">
        <f>SUM(D109:K109)</f>
        <v>0</v>
      </c>
    </row>
    <row r="110" spans="1:13" ht="12" x14ac:dyDescent="0.2">
      <c r="A110" s="1039"/>
      <c r="B110" s="1331" t="s">
        <v>414</v>
      </c>
      <c r="C110" s="1085">
        <v>5140</v>
      </c>
      <c r="D110" s="251"/>
      <c r="E110" s="251"/>
      <c r="F110" s="250"/>
      <c r="G110" s="251"/>
      <c r="H110" s="251"/>
      <c r="I110" s="293"/>
      <c r="J110" s="251"/>
      <c r="K110" s="251"/>
      <c r="L110" s="207">
        <f>SUM(D110:K110)</f>
        <v>0</v>
      </c>
    </row>
    <row r="111" spans="1:13" ht="12" x14ac:dyDescent="0.2">
      <c r="A111" s="1039" t="s">
        <v>860</v>
      </c>
      <c r="B111" s="1072" t="s">
        <v>694</v>
      </c>
      <c r="C111" s="1085">
        <v>5150</v>
      </c>
      <c r="D111" s="251"/>
      <c r="E111" s="251"/>
      <c r="F111" s="250"/>
      <c r="G111" s="251"/>
      <c r="H111" s="251"/>
      <c r="I111" s="293"/>
      <c r="J111" s="251"/>
      <c r="K111" s="251"/>
      <c r="L111" s="207">
        <f>SUM(D111:K111)</f>
        <v>0</v>
      </c>
    </row>
    <row r="112" spans="1:13" ht="12" customHeight="1" thickBot="1" x14ac:dyDescent="0.25">
      <c r="A112" s="1039"/>
      <c r="B112" s="1311" t="s">
        <v>39</v>
      </c>
      <c r="C112" s="1312">
        <v>5100</v>
      </c>
      <c r="D112" s="251"/>
      <c r="E112" s="251"/>
      <c r="F112" s="250"/>
      <c r="G112" s="251"/>
      <c r="H112" s="251"/>
      <c r="I112" s="263">
        <f>SUM(I107:I111)</f>
        <v>0</v>
      </c>
      <c r="J112" s="251"/>
      <c r="K112" s="251"/>
      <c r="L112" s="276">
        <f>SUM(L107:L111)</f>
        <v>0</v>
      </c>
      <c r="M112" s="1121"/>
    </row>
    <row r="113" spans="1:13" s="1105" customFormat="1" ht="15.75" customHeight="1" thickTop="1" x14ac:dyDescent="0.2">
      <c r="A113" s="1039"/>
      <c r="B113" s="1329" t="s">
        <v>216</v>
      </c>
      <c r="C113" s="1330">
        <v>5200</v>
      </c>
      <c r="D113" s="251"/>
      <c r="E113" s="251"/>
      <c r="F113" s="250"/>
      <c r="G113" s="251"/>
      <c r="H113" s="251"/>
      <c r="I113" s="293"/>
      <c r="J113" s="251"/>
      <c r="K113" s="251"/>
      <c r="L113" s="207">
        <f>I113</f>
        <v>0</v>
      </c>
    </row>
    <row r="114" spans="1:13" ht="12" customHeight="1" thickBot="1" x14ac:dyDescent="0.25">
      <c r="A114" s="1039"/>
      <c r="B114" s="1311" t="s">
        <v>176</v>
      </c>
      <c r="C114" s="1312">
        <v>5000</v>
      </c>
      <c r="D114" s="251"/>
      <c r="E114" s="251"/>
      <c r="F114" s="250"/>
      <c r="G114" s="251"/>
      <c r="H114" s="251"/>
      <c r="I114" s="263">
        <f>SUM(I112:I113)</f>
        <v>0</v>
      </c>
      <c r="J114" s="251"/>
      <c r="K114" s="251"/>
      <c r="L114" s="276">
        <f>SUM(L112:L113)</f>
        <v>0</v>
      </c>
      <c r="M114" s="1121"/>
    </row>
    <row r="115" spans="1:13" s="1105" customFormat="1" ht="15.75" customHeight="1" thickTop="1" x14ac:dyDescent="0.2">
      <c r="A115" s="1039"/>
      <c r="B115" s="1327" t="s">
        <v>399</v>
      </c>
      <c r="C115" s="1328">
        <v>6000</v>
      </c>
      <c r="D115" s="257"/>
      <c r="E115" s="257"/>
      <c r="F115" s="257"/>
      <c r="G115" s="257"/>
      <c r="H115" s="257"/>
      <c r="I115" s="293"/>
      <c r="J115" s="257"/>
      <c r="K115" s="257"/>
      <c r="L115" s="207">
        <f>SUM(D115:K115)</f>
        <v>0</v>
      </c>
    </row>
    <row r="116" spans="1:13" ht="16.5" thickBot="1" x14ac:dyDescent="0.25">
      <c r="A116" s="1039"/>
      <c r="B116" s="1070" t="s">
        <v>764</v>
      </c>
      <c r="C116" s="1626"/>
      <c r="D116" s="326">
        <f>SUM(D34,D76,D77,D104,D114,D115,)</f>
        <v>57441050</v>
      </c>
      <c r="E116" s="326">
        <f t="shared" ref="E116:L116" si="16">SUM(E34,E76,E77,E104,E114,E115,)</f>
        <v>6732000</v>
      </c>
      <c r="F116" s="326">
        <f t="shared" si="16"/>
        <v>3786100</v>
      </c>
      <c r="G116" s="326">
        <f t="shared" si="16"/>
        <v>2705350</v>
      </c>
      <c r="H116" s="326">
        <f t="shared" si="16"/>
        <v>833700</v>
      </c>
      <c r="I116" s="326">
        <f t="shared" si="16"/>
        <v>7745800</v>
      </c>
      <c r="J116" s="326">
        <f t="shared" si="16"/>
        <v>0</v>
      </c>
      <c r="K116" s="326">
        <f t="shared" si="16"/>
        <v>0</v>
      </c>
      <c r="L116" s="326">
        <f t="shared" si="16"/>
        <v>79244000</v>
      </c>
      <c r="M116" s="1121"/>
    </row>
    <row r="117" spans="1:13" ht="17.25" thickTop="1" thickBot="1" x14ac:dyDescent="0.25">
      <c r="A117" s="1039"/>
      <c r="B117" s="1070" t="s">
        <v>765</v>
      </c>
      <c r="C117" s="1627"/>
      <c r="D117" s="326">
        <f>SUM(D35,D76,D77,D104,D114,D115,)</f>
        <v>57441050</v>
      </c>
      <c r="E117" s="326">
        <f>SUM(E35,E76,E77,E104,E114,E115,)</f>
        <v>6732000</v>
      </c>
      <c r="F117" s="326">
        <f t="shared" ref="F117:L117" si="17">SUM(F35,F76,F77,F104,F114,F115,)</f>
        <v>3786100</v>
      </c>
      <c r="G117" s="326">
        <f t="shared" si="17"/>
        <v>2705350</v>
      </c>
      <c r="H117" s="326">
        <f t="shared" si="17"/>
        <v>833700</v>
      </c>
      <c r="I117" s="326">
        <f t="shared" si="17"/>
        <v>7745800</v>
      </c>
      <c r="J117" s="326">
        <f t="shared" si="17"/>
        <v>0</v>
      </c>
      <c r="K117" s="326">
        <f t="shared" si="17"/>
        <v>0</v>
      </c>
      <c r="L117" s="326">
        <f t="shared" si="17"/>
        <v>79244000</v>
      </c>
      <c r="M117" s="1121"/>
    </row>
    <row r="118" spans="1:13" ht="24" thickTop="1" thickBot="1" x14ac:dyDescent="0.25">
      <c r="A118" s="1039"/>
      <c r="B118" s="1321" t="s">
        <v>3041</v>
      </c>
      <c r="C118" s="1628"/>
      <c r="D118" s="622"/>
      <c r="E118" s="622"/>
      <c r="F118" s="622"/>
      <c r="G118" s="622"/>
      <c r="H118" s="622"/>
      <c r="I118" s="622"/>
      <c r="J118" s="622"/>
      <c r="K118" s="622"/>
      <c r="L118" s="326">
        <f>'EstRev 6-11'!D270-'EstExp 12-20'!L116</f>
        <v>0</v>
      </c>
    </row>
    <row r="119" spans="1:13" ht="24" thickTop="1" thickBot="1" x14ac:dyDescent="0.25">
      <c r="A119" s="1039"/>
      <c r="B119" s="1322" t="s">
        <v>3042</v>
      </c>
      <c r="C119" s="1629"/>
      <c r="D119" s="1603"/>
      <c r="E119" s="394"/>
      <c r="F119" s="394"/>
      <c r="G119" s="394"/>
      <c r="H119" s="394"/>
      <c r="I119" s="394"/>
      <c r="J119" s="394"/>
      <c r="K119" s="1604"/>
      <c r="L119" s="326">
        <f>'EstRev 6-11'!D271-'EstExp 12-20'!L117</f>
        <v>0</v>
      </c>
    </row>
    <row r="120" spans="1:13" ht="5.25" customHeight="1" thickTop="1" x14ac:dyDescent="0.2">
      <c r="A120" s="1039"/>
      <c r="B120" s="1323"/>
      <c r="C120" s="1630"/>
      <c r="D120" s="333"/>
      <c r="E120" s="333"/>
      <c r="F120" s="333"/>
      <c r="G120" s="333"/>
      <c r="H120" s="333"/>
      <c r="I120" s="333"/>
      <c r="J120" s="333"/>
      <c r="K120" s="333"/>
      <c r="L120" s="333"/>
    </row>
    <row r="121" spans="1:13" s="1105" customFormat="1" ht="16.7" customHeight="1" x14ac:dyDescent="0.2">
      <c r="A121" s="1039"/>
      <c r="B121" s="1324" t="s">
        <v>205</v>
      </c>
      <c r="C121" s="1621"/>
      <c r="D121" s="206"/>
      <c r="E121" s="206"/>
      <c r="F121" s="206"/>
      <c r="G121" s="206"/>
      <c r="H121" s="206"/>
      <c r="I121" s="206"/>
      <c r="J121" s="206"/>
      <c r="K121" s="206"/>
      <c r="L121" s="284"/>
    </row>
    <row r="122" spans="1:13" s="1105" customFormat="1" ht="15.75" customHeight="1" x14ac:dyDescent="0.2">
      <c r="A122" s="1039"/>
      <c r="B122" s="1325" t="s">
        <v>149</v>
      </c>
      <c r="C122" s="1326" t="s">
        <v>100</v>
      </c>
      <c r="D122" s="334"/>
      <c r="E122" s="335"/>
      <c r="F122" s="335"/>
      <c r="G122" s="335"/>
      <c r="H122" s="335"/>
      <c r="I122" s="335"/>
      <c r="J122" s="335"/>
      <c r="K122" s="335"/>
      <c r="L122" s="336"/>
    </row>
    <row r="123" spans="1:13" s="1105" customFormat="1" ht="12.75" customHeight="1" x14ac:dyDescent="0.2">
      <c r="A123" s="1039"/>
      <c r="B123" s="1307" t="s">
        <v>222</v>
      </c>
      <c r="C123" s="1320">
        <v>2100</v>
      </c>
      <c r="D123" s="319"/>
      <c r="E123" s="320"/>
      <c r="F123" s="320"/>
      <c r="G123" s="320"/>
      <c r="H123" s="320"/>
      <c r="I123" s="320"/>
      <c r="J123" s="320"/>
      <c r="K123" s="320"/>
      <c r="L123" s="321"/>
    </row>
    <row r="124" spans="1:13" ht="12" customHeight="1" x14ac:dyDescent="0.2">
      <c r="A124" s="1039" t="s">
        <v>861</v>
      </c>
      <c r="B124" s="1318" t="s">
        <v>695</v>
      </c>
      <c r="C124" s="1317">
        <v>2190</v>
      </c>
      <c r="D124" s="352"/>
      <c r="E124" s="352"/>
      <c r="F124" s="352"/>
      <c r="G124" s="352"/>
      <c r="H124" s="352"/>
      <c r="I124" s="352"/>
      <c r="J124" s="352"/>
      <c r="K124" s="352"/>
      <c r="L124" s="207">
        <f>SUM(D124:K124)</f>
        <v>0</v>
      </c>
    </row>
    <row r="125" spans="1:13" s="1105" customFormat="1" ht="12.75" customHeight="1" x14ac:dyDescent="0.2">
      <c r="A125" s="1039"/>
      <c r="B125" s="1319" t="s">
        <v>223</v>
      </c>
      <c r="C125" s="1320">
        <v>2500</v>
      </c>
      <c r="D125" s="319"/>
      <c r="E125" s="320"/>
      <c r="F125" s="320"/>
      <c r="G125" s="320"/>
      <c r="H125" s="320"/>
      <c r="I125" s="320"/>
      <c r="J125" s="320"/>
      <c r="K125" s="320"/>
      <c r="L125" s="321"/>
    </row>
    <row r="126" spans="1:13" ht="12" x14ac:dyDescent="0.2">
      <c r="A126" s="1039"/>
      <c r="B126" s="1318" t="s">
        <v>361</v>
      </c>
      <c r="C126" s="1317">
        <v>2510</v>
      </c>
      <c r="D126" s="352"/>
      <c r="E126" s="352"/>
      <c r="F126" s="352"/>
      <c r="G126" s="352"/>
      <c r="H126" s="352"/>
      <c r="I126" s="352"/>
      <c r="J126" s="352"/>
      <c r="K126" s="352"/>
      <c r="L126" s="207">
        <f>SUM(D126:K126)</f>
        <v>0</v>
      </c>
    </row>
    <row r="127" spans="1:13" ht="12" x14ac:dyDescent="0.2">
      <c r="A127" s="1039"/>
      <c r="B127" s="1318" t="s">
        <v>225</v>
      </c>
      <c r="C127" s="1317">
        <v>2530</v>
      </c>
      <c r="D127" s="352">
        <v>20000</v>
      </c>
      <c r="E127" s="352"/>
      <c r="F127" s="352">
        <v>403000</v>
      </c>
      <c r="G127" s="352"/>
      <c r="H127" s="352">
        <v>723000</v>
      </c>
      <c r="I127" s="352"/>
      <c r="J127" s="352"/>
      <c r="K127" s="352"/>
      <c r="L127" s="207">
        <f>SUM(D127:K127)</f>
        <v>1146000</v>
      </c>
    </row>
    <row r="128" spans="1:13" ht="12" x14ac:dyDescent="0.2">
      <c r="A128" s="1039"/>
      <c r="B128" s="1318" t="s">
        <v>363</v>
      </c>
      <c r="C128" s="1317">
        <v>2540</v>
      </c>
      <c r="D128" s="352">
        <v>3345500</v>
      </c>
      <c r="E128" s="352">
        <v>496000</v>
      </c>
      <c r="F128" s="352">
        <v>1497000</v>
      </c>
      <c r="G128" s="352">
        <v>1214000</v>
      </c>
      <c r="H128" s="352">
        <v>15000</v>
      </c>
      <c r="I128" s="352">
        <v>3000</v>
      </c>
      <c r="J128" s="352"/>
      <c r="K128" s="352"/>
      <c r="L128" s="207">
        <f>SUM(D128:K128)</f>
        <v>6570500</v>
      </c>
    </row>
    <row r="129" spans="1:12" ht="12" x14ac:dyDescent="0.2">
      <c r="A129" s="1039"/>
      <c r="B129" s="1318" t="s">
        <v>364</v>
      </c>
      <c r="C129" s="1317">
        <v>2550</v>
      </c>
      <c r="D129" s="352"/>
      <c r="E129" s="352"/>
      <c r="F129" s="352"/>
      <c r="G129" s="352"/>
      <c r="H129" s="352"/>
      <c r="I129" s="352"/>
      <c r="J129" s="352"/>
      <c r="K129" s="352"/>
      <c r="L129" s="207">
        <f>SUM(D129:K129)</f>
        <v>0</v>
      </c>
    </row>
    <row r="130" spans="1:12" ht="12" x14ac:dyDescent="0.2">
      <c r="A130" s="1039"/>
      <c r="B130" s="1316" t="s">
        <v>365</v>
      </c>
      <c r="C130" s="1317">
        <v>2560</v>
      </c>
      <c r="D130" s="340"/>
      <c r="E130" s="340"/>
      <c r="F130" s="340"/>
      <c r="G130" s="340"/>
      <c r="H130" s="339"/>
      <c r="I130" s="340"/>
      <c r="J130" s="339"/>
      <c r="K130" s="340"/>
      <c r="L130" s="207">
        <f>SUM(D130:K130)</f>
        <v>0</v>
      </c>
    </row>
    <row r="131" spans="1:12" ht="12" customHeight="1" thickBot="1" x14ac:dyDescent="0.25">
      <c r="A131" s="1039"/>
      <c r="B131" s="1315" t="s">
        <v>504</v>
      </c>
      <c r="C131" s="1631">
        <v>2500</v>
      </c>
      <c r="D131" s="341">
        <f>SUM(D126:D129)</f>
        <v>3365500</v>
      </c>
      <c r="E131" s="341">
        <f>SUM(E126:E129)</f>
        <v>496000</v>
      </c>
      <c r="F131" s="341">
        <f t="shared" ref="F131:L131" si="18">SUM(F126:F130)</f>
        <v>1900000</v>
      </c>
      <c r="G131" s="341">
        <f t="shared" si="18"/>
        <v>1214000</v>
      </c>
      <c r="H131" s="341">
        <f>SUM(H126:H130)</f>
        <v>738000</v>
      </c>
      <c r="I131" s="341">
        <f>SUM(I126:I130)</f>
        <v>3000</v>
      </c>
      <c r="J131" s="341">
        <f t="shared" si="18"/>
        <v>0</v>
      </c>
      <c r="K131" s="341">
        <f t="shared" si="18"/>
        <v>0</v>
      </c>
      <c r="L131" s="341">
        <f t="shared" si="18"/>
        <v>7716500</v>
      </c>
    </row>
    <row r="132" spans="1:12" s="1105" customFormat="1" ht="12.75" customHeight="1" thickTop="1" x14ac:dyDescent="0.2">
      <c r="A132" s="1039" t="s">
        <v>862</v>
      </c>
      <c r="B132" s="1313" t="s">
        <v>894</v>
      </c>
      <c r="C132" s="1314">
        <v>2900</v>
      </c>
      <c r="D132" s="342">
        <v>344000</v>
      </c>
      <c r="E132" s="342">
        <v>38000</v>
      </c>
      <c r="F132" s="342">
        <v>72000</v>
      </c>
      <c r="G132" s="342"/>
      <c r="H132" s="342"/>
      <c r="I132" s="342"/>
      <c r="J132" s="343"/>
      <c r="K132" s="343"/>
      <c r="L132" s="314">
        <f>SUM(D132:K132)</f>
        <v>454000</v>
      </c>
    </row>
    <row r="133" spans="1:12" ht="12" customHeight="1" thickBot="1" x14ac:dyDescent="0.25">
      <c r="A133" s="1039"/>
      <c r="B133" s="1311" t="s">
        <v>506</v>
      </c>
      <c r="C133" s="1312">
        <v>2000</v>
      </c>
      <c r="D133" s="344">
        <f>SUM(D124,D131,D132)</f>
        <v>3709500</v>
      </c>
      <c r="E133" s="344">
        <f t="shared" ref="E133:L133" si="19">SUM(E124,E131,E132)</f>
        <v>534000</v>
      </c>
      <c r="F133" s="344">
        <f t="shared" si="19"/>
        <v>1972000</v>
      </c>
      <c r="G133" s="344">
        <f t="shared" si="19"/>
        <v>1214000</v>
      </c>
      <c r="H133" s="344">
        <f>SUM(H124,H131,H132)</f>
        <v>738000</v>
      </c>
      <c r="I133" s="344">
        <f>SUM(I124,I131,I132)</f>
        <v>3000</v>
      </c>
      <c r="J133" s="344">
        <f t="shared" si="19"/>
        <v>0</v>
      </c>
      <c r="K133" s="344">
        <f t="shared" si="19"/>
        <v>0</v>
      </c>
      <c r="L133" s="344">
        <f t="shared" si="19"/>
        <v>8170500</v>
      </c>
    </row>
    <row r="134" spans="1:12" s="1105" customFormat="1" ht="13.5" thickTop="1" thickBot="1" x14ac:dyDescent="0.25">
      <c r="A134" s="1039"/>
      <c r="B134" s="1309" t="s">
        <v>150</v>
      </c>
      <c r="C134" s="1310">
        <v>3000</v>
      </c>
      <c r="D134" s="345">
        <v>42500</v>
      </c>
      <c r="E134" s="345"/>
      <c r="F134" s="345">
        <v>1000</v>
      </c>
      <c r="G134" s="345">
        <v>1000</v>
      </c>
      <c r="H134" s="345">
        <v>5000</v>
      </c>
      <c r="I134" s="346"/>
      <c r="J134" s="347"/>
      <c r="K134" s="347"/>
      <c r="L134" s="207">
        <f>SUM(D134:K134)</f>
        <v>49500</v>
      </c>
    </row>
    <row r="135" spans="1:12" s="1105" customFormat="1" ht="15.75" customHeight="1" thickTop="1" x14ac:dyDescent="0.2">
      <c r="A135" s="1039"/>
      <c r="B135" s="1305" t="s">
        <v>612</v>
      </c>
      <c r="C135" s="1306">
        <v>4000</v>
      </c>
      <c r="D135" s="348"/>
      <c r="E135" s="349"/>
      <c r="F135" s="349"/>
      <c r="G135" s="349"/>
      <c r="H135" s="349"/>
      <c r="I135" s="349"/>
      <c r="J135" s="349"/>
      <c r="K135" s="349"/>
      <c r="L135" s="350"/>
    </row>
    <row r="136" spans="1:12" ht="15.75" customHeight="1" x14ac:dyDescent="0.2">
      <c r="A136" s="1039"/>
      <c r="B136" s="1307" t="s">
        <v>608</v>
      </c>
      <c r="C136" s="1308">
        <v>4100</v>
      </c>
      <c r="D136" s="319"/>
      <c r="E136" s="320"/>
      <c r="F136" s="320"/>
      <c r="G136" s="320"/>
      <c r="H136" s="320"/>
      <c r="I136" s="320"/>
      <c r="J136" s="320"/>
      <c r="K136" s="320"/>
      <c r="L136" s="321"/>
    </row>
    <row r="137" spans="1:12" ht="12" x14ac:dyDescent="0.2">
      <c r="A137" s="1039"/>
      <c r="B137" s="1301" t="s">
        <v>517</v>
      </c>
      <c r="C137" s="1302">
        <v>4110</v>
      </c>
      <c r="D137" s="337"/>
      <c r="E137" s="338"/>
      <c r="F137" s="352"/>
      <c r="G137" s="337"/>
      <c r="H137" s="337"/>
      <c r="I137" s="352"/>
      <c r="J137" s="337"/>
      <c r="K137" s="338"/>
      <c r="L137" s="353">
        <f>SUM(F137,I137)</f>
        <v>0</v>
      </c>
    </row>
    <row r="138" spans="1:12" ht="12" x14ac:dyDescent="0.2">
      <c r="A138" s="1039"/>
      <c r="B138" s="1291" t="s">
        <v>226</v>
      </c>
      <c r="C138" s="1303">
        <v>4120</v>
      </c>
      <c r="D138" s="354"/>
      <c r="E138" s="355"/>
      <c r="F138" s="356"/>
      <c r="G138" s="354"/>
      <c r="H138" s="354"/>
      <c r="I138" s="356"/>
      <c r="J138" s="354"/>
      <c r="K138" s="355"/>
      <c r="L138" s="207">
        <f>SUM(D138:K138)</f>
        <v>0</v>
      </c>
    </row>
    <row r="139" spans="1:12" ht="12" x14ac:dyDescent="0.2">
      <c r="A139" s="1039"/>
      <c r="B139" s="1291" t="s">
        <v>197</v>
      </c>
      <c r="C139" s="1292">
        <v>4140</v>
      </c>
      <c r="D139" s="354"/>
      <c r="E139" s="355"/>
      <c r="F139" s="356"/>
      <c r="G139" s="354"/>
      <c r="H139" s="354"/>
      <c r="I139" s="356"/>
      <c r="J139" s="354"/>
      <c r="K139" s="355"/>
      <c r="L139" s="207">
        <f>SUM(D139:K139)</f>
        <v>0</v>
      </c>
    </row>
    <row r="140" spans="1:12" ht="12" x14ac:dyDescent="0.2">
      <c r="A140" s="1039" t="s">
        <v>863</v>
      </c>
      <c r="B140" s="1304" t="s">
        <v>895</v>
      </c>
      <c r="C140" s="1292">
        <v>4190</v>
      </c>
      <c r="D140" s="354"/>
      <c r="E140" s="355"/>
      <c r="F140" s="356"/>
      <c r="G140" s="354"/>
      <c r="H140" s="354"/>
      <c r="I140" s="356"/>
      <c r="J140" s="354"/>
      <c r="K140" s="355"/>
      <c r="L140" s="207">
        <f>SUM(D140:K140)</f>
        <v>0</v>
      </c>
    </row>
    <row r="141" spans="1:12" ht="12.75" thickBot="1" x14ac:dyDescent="0.25">
      <c r="A141" s="1039"/>
      <c r="B141" s="1290" t="s">
        <v>613</v>
      </c>
      <c r="C141" s="1632">
        <v>4100</v>
      </c>
      <c r="D141" s="354"/>
      <c r="E141" s="355"/>
      <c r="F141" s="357">
        <f>SUM(F137:F140)</f>
        <v>0</v>
      </c>
      <c r="G141" s="354"/>
      <c r="H141" s="354"/>
      <c r="I141" s="357">
        <f>SUM(I137:I140)</f>
        <v>0</v>
      </c>
      <c r="J141" s="354"/>
      <c r="K141" s="355"/>
      <c r="L141" s="357">
        <f>SUM(L137:L140)</f>
        <v>0</v>
      </c>
    </row>
    <row r="142" spans="1:12" ht="16.5" thickTop="1" thickBot="1" x14ac:dyDescent="0.25">
      <c r="A142" s="1039"/>
      <c r="B142" s="1299" t="s">
        <v>696</v>
      </c>
      <c r="C142" s="1300">
        <v>4400</v>
      </c>
      <c r="D142" s="354"/>
      <c r="E142" s="355"/>
      <c r="F142" s="358"/>
      <c r="G142" s="354"/>
      <c r="H142" s="354"/>
      <c r="I142" s="359"/>
      <c r="J142" s="354"/>
      <c r="K142" s="355"/>
      <c r="L142" s="308">
        <f>SUM(D142:K142)</f>
        <v>0</v>
      </c>
    </row>
    <row r="143" spans="1:12" ht="13.5" thickTop="1" thickBot="1" x14ac:dyDescent="0.25">
      <c r="A143" s="1039"/>
      <c r="B143" s="1295" t="s">
        <v>614</v>
      </c>
      <c r="C143" s="1633">
        <v>4000</v>
      </c>
      <c r="D143" s="354"/>
      <c r="E143" s="354"/>
      <c r="F143" s="360">
        <f>SUM(F141)</f>
        <v>0</v>
      </c>
      <c r="G143" s="354"/>
      <c r="H143" s="354"/>
      <c r="I143" s="361">
        <f>SUM(I141:I142)</f>
        <v>0</v>
      </c>
      <c r="J143" s="354"/>
      <c r="K143" s="354"/>
      <c r="L143" s="361">
        <f>SUM(L141:L142)</f>
        <v>0</v>
      </c>
    </row>
    <row r="144" spans="1:12" s="1105" customFormat="1" ht="12.75" thickTop="1" x14ac:dyDescent="0.2">
      <c r="A144" s="1039"/>
      <c r="B144" s="1227" t="s">
        <v>38</v>
      </c>
      <c r="C144" s="1296">
        <v>5000</v>
      </c>
      <c r="D144" s="354"/>
      <c r="E144" s="354"/>
      <c r="F144" s="362"/>
      <c r="G144" s="354"/>
      <c r="H144" s="354"/>
      <c r="I144" s="354"/>
      <c r="J144" s="354"/>
      <c r="K144" s="354"/>
      <c r="L144" s="354"/>
    </row>
    <row r="145" spans="1:13" s="1105" customFormat="1" ht="15.75" customHeight="1" x14ac:dyDescent="0.2">
      <c r="A145" s="1039"/>
      <c r="B145" s="1297" t="s">
        <v>198</v>
      </c>
      <c r="C145" s="1298">
        <v>5100</v>
      </c>
      <c r="D145" s="354"/>
      <c r="E145" s="354"/>
      <c r="F145" s="354"/>
      <c r="G145" s="354"/>
      <c r="H145" s="354"/>
      <c r="I145" s="354"/>
      <c r="J145" s="354"/>
      <c r="K145" s="354"/>
      <c r="L145" s="337"/>
    </row>
    <row r="146" spans="1:13" ht="12" customHeight="1" x14ac:dyDescent="0.2">
      <c r="A146" s="1039"/>
      <c r="B146" s="1291" t="s">
        <v>295</v>
      </c>
      <c r="C146" s="1292">
        <v>5110</v>
      </c>
      <c r="D146" s="354"/>
      <c r="E146" s="354"/>
      <c r="F146" s="354"/>
      <c r="G146" s="354"/>
      <c r="H146" s="354"/>
      <c r="I146" s="356"/>
      <c r="J146" s="354"/>
      <c r="K146" s="355"/>
      <c r="L146" s="207">
        <f>SUM(D146:K146)</f>
        <v>0</v>
      </c>
    </row>
    <row r="147" spans="1:13" ht="12" customHeight="1" x14ac:dyDescent="0.2">
      <c r="A147" s="1039"/>
      <c r="B147" s="1291" t="s">
        <v>396</v>
      </c>
      <c r="C147" s="1292">
        <v>5120</v>
      </c>
      <c r="D147" s="354"/>
      <c r="E147" s="354"/>
      <c r="F147" s="354"/>
      <c r="G147" s="354"/>
      <c r="H147" s="354"/>
      <c r="I147" s="356"/>
      <c r="J147" s="354"/>
      <c r="K147" s="355"/>
      <c r="L147" s="207">
        <f>SUM(D147:K147)</f>
        <v>0</v>
      </c>
    </row>
    <row r="148" spans="1:13" ht="12" customHeight="1" x14ac:dyDescent="0.2">
      <c r="A148" s="1039"/>
      <c r="B148" s="1293" t="s">
        <v>346</v>
      </c>
      <c r="C148" s="1292">
        <v>5130</v>
      </c>
      <c r="D148" s="354"/>
      <c r="E148" s="354"/>
      <c r="F148" s="354"/>
      <c r="G148" s="354"/>
      <c r="H148" s="354"/>
      <c r="I148" s="356"/>
      <c r="J148" s="354"/>
      <c r="K148" s="355"/>
      <c r="L148" s="207">
        <f>SUM(D148:K148)</f>
        <v>0</v>
      </c>
    </row>
    <row r="149" spans="1:13" ht="12" customHeight="1" x14ac:dyDescent="0.2">
      <c r="A149" s="1039"/>
      <c r="B149" s="1294" t="s">
        <v>414</v>
      </c>
      <c r="C149" s="1292">
        <v>5140</v>
      </c>
      <c r="D149" s="354"/>
      <c r="E149" s="354"/>
      <c r="F149" s="354"/>
      <c r="G149" s="354"/>
      <c r="H149" s="354"/>
      <c r="I149" s="356"/>
      <c r="J149" s="354"/>
      <c r="K149" s="355"/>
      <c r="L149" s="207">
        <f>SUM(D149:K149)</f>
        <v>0</v>
      </c>
    </row>
    <row r="150" spans="1:13" ht="12" customHeight="1" x14ac:dyDescent="0.2">
      <c r="A150" s="1039" t="s">
        <v>864</v>
      </c>
      <c r="B150" s="1294" t="s">
        <v>697</v>
      </c>
      <c r="C150" s="1292">
        <v>5150</v>
      </c>
      <c r="D150" s="354"/>
      <c r="E150" s="354"/>
      <c r="F150" s="354"/>
      <c r="G150" s="354"/>
      <c r="H150" s="354"/>
      <c r="I150" s="356"/>
      <c r="J150" s="354"/>
      <c r="K150" s="355"/>
      <c r="L150" s="207">
        <f>SUM(D150:K150)</f>
        <v>0</v>
      </c>
    </row>
    <row r="151" spans="1:13" ht="12" customHeight="1" thickBot="1" x14ac:dyDescent="0.25">
      <c r="A151" s="1039"/>
      <c r="B151" s="1290" t="s">
        <v>39</v>
      </c>
      <c r="C151" s="1632">
        <v>5100</v>
      </c>
      <c r="D151" s="354"/>
      <c r="E151" s="354"/>
      <c r="F151" s="354"/>
      <c r="G151" s="354"/>
      <c r="H151" s="354"/>
      <c r="I151" s="363">
        <f>SUM(I146:I150)</f>
        <v>0</v>
      </c>
      <c r="J151" s="354"/>
      <c r="K151" s="355"/>
      <c r="L151" s="276">
        <f>SUM(L146:L150)</f>
        <v>0</v>
      </c>
    </row>
    <row r="152" spans="1:13" s="1105" customFormat="1" ht="15.75" customHeight="1" thickTop="1" x14ac:dyDescent="0.2">
      <c r="A152" s="1039"/>
      <c r="B152" s="1288" t="s">
        <v>216</v>
      </c>
      <c r="C152" s="1289">
        <v>5200</v>
      </c>
      <c r="D152" s="354"/>
      <c r="E152" s="354"/>
      <c r="F152" s="354"/>
      <c r="G152" s="354"/>
      <c r="H152" s="354"/>
      <c r="I152" s="356"/>
      <c r="J152" s="354"/>
      <c r="K152" s="355"/>
      <c r="L152" s="207">
        <f>SUM(I152:K152)</f>
        <v>0</v>
      </c>
    </row>
    <row r="153" spans="1:13" ht="12" customHeight="1" thickBot="1" x14ac:dyDescent="0.25">
      <c r="A153" s="1039"/>
      <c r="B153" s="1286" t="s">
        <v>176</v>
      </c>
      <c r="C153" s="1287">
        <v>5000</v>
      </c>
      <c r="D153" s="354"/>
      <c r="E153" s="354"/>
      <c r="F153" s="354"/>
      <c r="G153" s="354"/>
      <c r="H153" s="354"/>
      <c r="I153" s="357">
        <f>SUM(I151:I152)</f>
        <v>0</v>
      </c>
      <c r="J153" s="354"/>
      <c r="K153" s="355"/>
      <c r="L153" s="357">
        <f>SUM(L151:L152)</f>
        <v>0</v>
      </c>
    </row>
    <row r="154" spans="1:13" s="1105" customFormat="1" ht="15.75" customHeight="1" thickTop="1" thickBot="1" x14ac:dyDescent="0.25">
      <c r="A154" s="1039"/>
      <c r="B154" s="1284" t="s">
        <v>165</v>
      </c>
      <c r="C154" s="1285">
        <v>6000</v>
      </c>
      <c r="D154" s="354"/>
      <c r="E154" s="354"/>
      <c r="F154" s="354"/>
      <c r="G154" s="354"/>
      <c r="H154" s="354"/>
      <c r="I154" s="364"/>
      <c r="J154" s="354"/>
      <c r="K154" s="355"/>
      <c r="L154" s="277">
        <f>SUM(D154:K154)</f>
        <v>0</v>
      </c>
    </row>
    <row r="155" spans="1:13" ht="12" customHeight="1" thickTop="1" thickBot="1" x14ac:dyDescent="0.25">
      <c r="A155" s="1039"/>
      <c r="B155" s="1220" t="s">
        <v>439</v>
      </c>
      <c r="C155" s="1273"/>
      <c r="D155" s="363">
        <f>SUM(D133,D134,D143,D153,D154)</f>
        <v>3752000</v>
      </c>
      <c r="E155" s="363">
        <f t="shared" ref="E155:K155" si="20">SUM(E133,E134,E143,E153,E154)</f>
        <v>534000</v>
      </c>
      <c r="F155" s="363">
        <f>SUM(F133,F134,F143)</f>
        <v>1973000</v>
      </c>
      <c r="G155" s="363">
        <f t="shared" si="20"/>
        <v>1215000</v>
      </c>
      <c r="H155" s="363">
        <f t="shared" si="20"/>
        <v>743000</v>
      </c>
      <c r="I155" s="363">
        <f>SUM(I133,I134,I143,I153,I154)</f>
        <v>3000</v>
      </c>
      <c r="J155" s="363">
        <f t="shared" si="20"/>
        <v>0</v>
      </c>
      <c r="K155" s="363">
        <f t="shared" si="20"/>
        <v>0</v>
      </c>
      <c r="L155" s="357">
        <f>SUM(L133,L134,L143,L153,L154)</f>
        <v>8220000</v>
      </c>
      <c r="M155" s="1121"/>
    </row>
    <row r="156" spans="1:13" ht="14.25" thickTop="1" thickBot="1" x14ac:dyDescent="0.25">
      <c r="A156" s="1039"/>
      <c r="B156" s="1274" t="s">
        <v>67</v>
      </c>
      <c r="C156" s="1275"/>
      <c r="D156" s="365"/>
      <c r="E156" s="365"/>
      <c r="F156" s="365"/>
      <c r="G156" s="365"/>
      <c r="H156" s="365"/>
      <c r="I156" s="366"/>
      <c r="J156" s="365"/>
      <c r="K156" s="367"/>
      <c r="L156" s="361">
        <f>'EstRev 6-11'!E270-'EstExp 12-20'!L155</f>
        <v>0</v>
      </c>
    </row>
    <row r="157" spans="1:13" ht="7.5" customHeight="1" thickTop="1" x14ac:dyDescent="0.2">
      <c r="A157" s="1039"/>
      <c r="B157" s="1276"/>
      <c r="C157" s="1277"/>
      <c r="D157" s="368"/>
      <c r="E157" s="368"/>
      <c r="F157" s="368"/>
      <c r="G157" s="368"/>
      <c r="H157" s="368"/>
      <c r="I157" s="368"/>
      <c r="J157" s="368"/>
      <c r="K157" s="368"/>
      <c r="L157" s="368"/>
    </row>
    <row r="158" spans="1:13" s="1105" customFormat="1" ht="16.7" customHeight="1" x14ac:dyDescent="0.2">
      <c r="A158" s="1039"/>
      <c r="B158" s="1278" t="s">
        <v>194</v>
      </c>
      <c r="C158" s="1279"/>
      <c r="D158" s="369"/>
      <c r="E158" s="370"/>
      <c r="F158" s="370"/>
      <c r="G158" s="370"/>
      <c r="H158" s="371"/>
      <c r="I158" s="370"/>
      <c r="J158" s="370"/>
      <c r="K158" s="370"/>
      <c r="L158" s="372"/>
    </row>
    <row r="159" spans="1:13" s="1105" customFormat="1" ht="15.75" customHeight="1" x14ac:dyDescent="0.2">
      <c r="A159" s="1039"/>
      <c r="B159" s="1280" t="s">
        <v>615</v>
      </c>
      <c r="C159" s="1281">
        <v>4000</v>
      </c>
      <c r="D159" s="373"/>
      <c r="E159" s="374"/>
      <c r="F159" s="374"/>
      <c r="G159" s="374"/>
      <c r="H159" s="374"/>
      <c r="I159" s="374"/>
      <c r="J159" s="374"/>
      <c r="K159" s="374"/>
      <c r="L159" s="375"/>
    </row>
    <row r="160" spans="1:13" s="1105" customFormat="1" ht="15.75" customHeight="1" x14ac:dyDescent="0.2">
      <c r="A160" s="1039"/>
      <c r="B160" s="1282" t="s">
        <v>608</v>
      </c>
      <c r="C160" s="1283" t="s">
        <v>739</v>
      </c>
      <c r="D160" s="319"/>
      <c r="E160" s="320"/>
      <c r="F160" s="320"/>
      <c r="G160" s="320"/>
      <c r="H160" s="320"/>
      <c r="I160" s="320"/>
      <c r="J160" s="320"/>
      <c r="K160" s="320"/>
      <c r="L160" s="321"/>
    </row>
    <row r="161" spans="1:12" ht="12" x14ac:dyDescent="0.2">
      <c r="A161" s="1039"/>
      <c r="B161" s="1269" t="s">
        <v>642</v>
      </c>
      <c r="C161" s="1270" t="s">
        <v>643</v>
      </c>
      <c r="D161" s="376"/>
      <c r="E161" s="376"/>
      <c r="F161" s="376"/>
      <c r="G161" s="376"/>
      <c r="H161" s="376"/>
      <c r="I161" s="378"/>
      <c r="J161" s="376"/>
      <c r="K161" s="377"/>
      <c r="L161" s="379">
        <f>I161</f>
        <v>0</v>
      </c>
    </row>
    <row r="162" spans="1:12" ht="12" x14ac:dyDescent="0.2">
      <c r="A162" s="1039"/>
      <c r="B162" s="1269" t="s">
        <v>226</v>
      </c>
      <c r="C162" s="1270" t="s">
        <v>644</v>
      </c>
      <c r="D162" s="376"/>
      <c r="E162" s="376"/>
      <c r="F162" s="376"/>
      <c r="G162" s="376"/>
      <c r="H162" s="376"/>
      <c r="I162" s="378"/>
      <c r="J162" s="376"/>
      <c r="K162" s="377"/>
      <c r="L162" s="379">
        <f>I162</f>
        <v>0</v>
      </c>
    </row>
    <row r="163" spans="1:12" ht="12" x14ac:dyDescent="0.2">
      <c r="A163" s="1039" t="s">
        <v>865</v>
      </c>
      <c r="B163" s="1271" t="s">
        <v>893</v>
      </c>
      <c r="C163" s="1272" t="s">
        <v>648</v>
      </c>
      <c r="D163" s="376"/>
      <c r="E163" s="376"/>
      <c r="F163" s="376"/>
      <c r="G163" s="376"/>
      <c r="H163" s="376"/>
      <c r="I163" s="380"/>
      <c r="J163" s="376"/>
      <c r="K163" s="377"/>
      <c r="L163" s="381">
        <f>I163</f>
        <v>0</v>
      </c>
    </row>
    <row r="164" spans="1:12" ht="12.75" thickBot="1" x14ac:dyDescent="0.25">
      <c r="A164" s="1039"/>
      <c r="B164" s="1265" t="s">
        <v>613</v>
      </c>
      <c r="C164" s="1266" t="s">
        <v>645</v>
      </c>
      <c r="D164" s="376"/>
      <c r="E164" s="376"/>
      <c r="F164" s="376"/>
      <c r="G164" s="376"/>
      <c r="H164" s="382"/>
      <c r="I164" s="383">
        <f>SUM(I161:I163)</f>
        <v>0</v>
      </c>
      <c r="J164" s="376"/>
      <c r="K164" s="377"/>
      <c r="L164" s="383">
        <f>SUM(L161:L163)</f>
        <v>0</v>
      </c>
    </row>
    <row r="165" spans="1:12" s="1105" customFormat="1" ht="15.75" customHeight="1" thickTop="1" x14ac:dyDescent="0.2">
      <c r="A165" s="1039"/>
      <c r="B165" s="1254" t="s">
        <v>43</v>
      </c>
      <c r="C165" s="1267">
        <v>5000</v>
      </c>
      <c r="D165" s="373"/>
      <c r="E165" s="374"/>
      <c r="F165" s="374"/>
      <c r="G165" s="374"/>
      <c r="H165" s="374"/>
      <c r="I165" s="384"/>
      <c r="J165" s="374"/>
      <c r="K165" s="374"/>
      <c r="L165" s="385"/>
    </row>
    <row r="166" spans="1:12" s="1105" customFormat="1" ht="15.75" customHeight="1" x14ac:dyDescent="0.2">
      <c r="A166" s="1039"/>
      <c r="B166" s="1258" t="s">
        <v>198</v>
      </c>
      <c r="C166" s="1268">
        <v>5100</v>
      </c>
      <c r="D166" s="319"/>
      <c r="E166" s="320"/>
      <c r="F166" s="320"/>
      <c r="G166" s="320"/>
      <c r="H166" s="320"/>
      <c r="I166" s="320"/>
      <c r="J166" s="320"/>
      <c r="K166" s="320"/>
      <c r="L166" s="321"/>
    </row>
    <row r="167" spans="1:12" ht="12" x14ac:dyDescent="0.2">
      <c r="A167" s="1039"/>
      <c r="B167" s="1262" t="s">
        <v>295</v>
      </c>
      <c r="C167" s="1263">
        <v>5110</v>
      </c>
      <c r="D167" s="376"/>
      <c r="E167" s="376"/>
      <c r="F167" s="376"/>
      <c r="G167" s="376"/>
      <c r="H167" s="376"/>
      <c r="I167" s="387"/>
      <c r="J167" s="376"/>
      <c r="K167" s="377"/>
      <c r="L167" s="207">
        <f>SUM(D167:K167)</f>
        <v>0</v>
      </c>
    </row>
    <row r="168" spans="1:12" ht="12" x14ac:dyDescent="0.2">
      <c r="A168" s="1039"/>
      <c r="B168" s="1262" t="s">
        <v>396</v>
      </c>
      <c r="C168" s="1263">
        <v>5120</v>
      </c>
      <c r="D168" s="376"/>
      <c r="E168" s="376"/>
      <c r="F168" s="376"/>
      <c r="G168" s="376"/>
      <c r="H168" s="376"/>
      <c r="I168" s="387"/>
      <c r="J168" s="376"/>
      <c r="K168" s="377"/>
      <c r="L168" s="207">
        <f t="shared" ref="L168:L174" si="21">SUM(D168:K168)</f>
        <v>0</v>
      </c>
    </row>
    <row r="169" spans="1:12" ht="12" x14ac:dyDescent="0.2">
      <c r="A169" s="1039"/>
      <c r="B169" s="1262" t="s">
        <v>123</v>
      </c>
      <c r="C169" s="1263">
        <v>5130</v>
      </c>
      <c r="D169" s="376"/>
      <c r="E169" s="376"/>
      <c r="F169" s="376"/>
      <c r="G169" s="376"/>
      <c r="H169" s="376"/>
      <c r="I169" s="387"/>
      <c r="J169" s="376"/>
      <c r="K169" s="377"/>
      <c r="L169" s="207">
        <f t="shared" si="21"/>
        <v>0</v>
      </c>
    </row>
    <row r="170" spans="1:12" ht="12" x14ac:dyDescent="0.2">
      <c r="A170" s="1039"/>
      <c r="B170" s="1262" t="s">
        <v>414</v>
      </c>
      <c r="C170" s="1263">
        <v>5140</v>
      </c>
      <c r="D170" s="376"/>
      <c r="E170" s="376"/>
      <c r="F170" s="376"/>
      <c r="G170" s="376"/>
      <c r="H170" s="376"/>
      <c r="I170" s="387"/>
      <c r="J170" s="376"/>
      <c r="K170" s="377"/>
      <c r="L170" s="207">
        <f t="shared" si="21"/>
        <v>0</v>
      </c>
    </row>
    <row r="171" spans="1:12" ht="12" x14ac:dyDescent="0.2">
      <c r="A171" s="1039" t="s">
        <v>866</v>
      </c>
      <c r="B171" s="1264" t="s">
        <v>697</v>
      </c>
      <c r="C171" s="1263">
        <v>5150</v>
      </c>
      <c r="D171" s="376"/>
      <c r="E171" s="376"/>
      <c r="F171" s="376"/>
      <c r="G171" s="376"/>
      <c r="H171" s="376"/>
      <c r="I171" s="387"/>
      <c r="J171" s="376"/>
      <c r="K171" s="377"/>
      <c r="L171" s="207">
        <f t="shared" si="21"/>
        <v>0</v>
      </c>
    </row>
    <row r="172" spans="1:12" ht="12" customHeight="1" thickBot="1" x14ac:dyDescent="0.25">
      <c r="A172" s="1039"/>
      <c r="B172" s="1261" t="s">
        <v>440</v>
      </c>
      <c r="C172" s="1634">
        <v>5100</v>
      </c>
      <c r="D172" s="376"/>
      <c r="E172" s="376"/>
      <c r="F172" s="376"/>
      <c r="G172" s="376"/>
      <c r="H172" s="376"/>
      <c r="I172" s="388">
        <f>SUM(I167:I171)</f>
        <v>0</v>
      </c>
      <c r="J172" s="376"/>
      <c r="K172" s="377"/>
      <c r="L172" s="388">
        <f>SUM(L167:L171)</f>
        <v>0</v>
      </c>
    </row>
    <row r="173" spans="1:12" s="1105" customFormat="1" ht="15.75" customHeight="1" thickTop="1" x14ac:dyDescent="0.2">
      <c r="A173" s="1039"/>
      <c r="B173" s="1258" t="s">
        <v>216</v>
      </c>
      <c r="C173" s="1259">
        <v>5200</v>
      </c>
      <c r="D173" s="376"/>
      <c r="E173" s="376"/>
      <c r="F173" s="376"/>
      <c r="G173" s="376"/>
      <c r="H173" s="382"/>
      <c r="I173" s="389">
        <v>1144000</v>
      </c>
      <c r="J173" s="390"/>
      <c r="K173" s="377"/>
      <c r="L173" s="207">
        <f t="shared" si="21"/>
        <v>1144000</v>
      </c>
    </row>
    <row r="174" spans="1:12" ht="26.25" x14ac:dyDescent="0.2">
      <c r="A174" s="1039" t="s">
        <v>3123</v>
      </c>
      <c r="B174" s="1218" t="s">
        <v>3122</v>
      </c>
      <c r="C174" s="1260">
        <v>5300</v>
      </c>
      <c r="D174" s="376"/>
      <c r="E174" s="376"/>
      <c r="F174" s="382"/>
      <c r="G174" s="376"/>
      <c r="H174" s="382"/>
      <c r="I174" s="387">
        <v>2475000</v>
      </c>
      <c r="J174" s="376"/>
      <c r="K174" s="377"/>
      <c r="L174" s="207">
        <f t="shared" si="21"/>
        <v>2475000</v>
      </c>
    </row>
    <row r="175" spans="1:12" ht="15.75" customHeight="1" x14ac:dyDescent="0.2">
      <c r="A175" s="1039" t="s">
        <v>867</v>
      </c>
      <c r="B175" s="1257" t="s">
        <v>899</v>
      </c>
      <c r="C175" s="1260">
        <v>5400</v>
      </c>
      <c r="D175" s="376"/>
      <c r="E175" s="376"/>
      <c r="F175" s="378"/>
      <c r="G175" s="376"/>
      <c r="H175" s="376"/>
      <c r="I175" s="387"/>
      <c r="J175" s="376"/>
      <c r="K175" s="376"/>
      <c r="L175" s="207">
        <f>SUM(D175:K175)</f>
        <v>0</v>
      </c>
    </row>
    <row r="176" spans="1:12" ht="12" customHeight="1" thickBot="1" x14ac:dyDescent="0.25">
      <c r="A176" s="1039"/>
      <c r="B176" s="1256" t="s">
        <v>176</v>
      </c>
      <c r="C176" s="1634">
        <v>5000</v>
      </c>
      <c r="D176" s="376"/>
      <c r="E176" s="376"/>
      <c r="F176" s="391">
        <f>SUM(F172:F175)</f>
        <v>0</v>
      </c>
      <c r="G176" s="376"/>
      <c r="H176" s="376"/>
      <c r="I176" s="391">
        <f>SUM(I172:I175)</f>
        <v>3619000</v>
      </c>
      <c r="J176" s="376"/>
      <c r="K176" s="376"/>
      <c r="L176" s="388">
        <f>SUM(L172:L175)</f>
        <v>3619000</v>
      </c>
    </row>
    <row r="177" spans="1:12" s="1105" customFormat="1" ht="15.75" customHeight="1" thickTop="1" thickBot="1" x14ac:dyDescent="0.25">
      <c r="A177" s="1039"/>
      <c r="B177" s="1254" t="s">
        <v>195</v>
      </c>
      <c r="C177" s="1255">
        <v>6000</v>
      </c>
      <c r="D177" s="376"/>
      <c r="E177" s="376"/>
      <c r="F177" s="382"/>
      <c r="G177" s="376"/>
      <c r="H177" s="376"/>
      <c r="I177" s="392"/>
      <c r="J177" s="376"/>
      <c r="K177" s="376"/>
      <c r="L177" s="277">
        <f>SUM(D177:K177)</f>
        <v>0</v>
      </c>
    </row>
    <row r="178" spans="1:12" ht="12" customHeight="1" thickTop="1" thickBot="1" x14ac:dyDescent="0.25">
      <c r="A178" s="1039"/>
      <c r="B178" s="1246" t="s">
        <v>439</v>
      </c>
      <c r="C178" s="1618"/>
      <c r="D178" s="376"/>
      <c r="E178" s="376"/>
      <c r="F178" s="388">
        <f>SUM(F176)</f>
        <v>0</v>
      </c>
      <c r="G178" s="376"/>
      <c r="H178" s="376"/>
      <c r="I178" s="388">
        <f>SUM(I164,I176,I177)</f>
        <v>3619000</v>
      </c>
      <c r="J178" s="376"/>
      <c r="K178" s="376"/>
      <c r="L178" s="388">
        <f>SUM(L164,L176,L177)</f>
        <v>3619000</v>
      </c>
    </row>
    <row r="179" spans="1:12" ht="13.5" thickTop="1" thickBot="1" x14ac:dyDescent="0.25">
      <c r="A179" s="1039"/>
      <c r="B179" s="1742" t="s">
        <v>67</v>
      </c>
      <c r="C179" s="1743"/>
      <c r="D179" s="386"/>
      <c r="E179" s="386"/>
      <c r="F179" s="393"/>
      <c r="G179" s="386"/>
      <c r="H179" s="386"/>
      <c r="I179" s="394"/>
      <c r="J179" s="386"/>
      <c r="K179" s="386"/>
      <c r="L179" s="395">
        <f>'EstRev 6-11'!F270-'EstExp 12-20'!L178</f>
        <v>0</v>
      </c>
    </row>
    <row r="180" spans="1:12" ht="8.25" customHeight="1" thickTop="1" x14ac:dyDescent="0.2">
      <c r="A180" s="1039"/>
      <c r="B180" s="1247"/>
      <c r="C180" s="1630"/>
      <c r="D180" s="396"/>
      <c r="E180" s="396"/>
      <c r="F180" s="396"/>
      <c r="G180" s="396"/>
      <c r="H180" s="396"/>
      <c r="I180" s="396"/>
      <c r="J180" s="396"/>
      <c r="K180" s="396"/>
      <c r="L180" s="397"/>
    </row>
    <row r="181" spans="1:12" s="1105" customFormat="1" ht="16.7" customHeight="1" x14ac:dyDescent="0.2">
      <c r="A181" s="1039"/>
      <c r="B181" s="1248" t="s">
        <v>206</v>
      </c>
      <c r="C181" s="1249"/>
      <c r="D181" s="1250"/>
      <c r="E181" s="398"/>
      <c r="F181" s="398"/>
      <c r="G181" s="398"/>
      <c r="H181" s="398"/>
      <c r="I181" s="398"/>
      <c r="J181" s="398"/>
      <c r="K181" s="398"/>
      <c r="L181" s="399"/>
    </row>
    <row r="182" spans="1:12" s="1105" customFormat="1" ht="15.75" customHeight="1" x14ac:dyDescent="0.2">
      <c r="A182" s="1039"/>
      <c r="B182" s="1242" t="s">
        <v>166</v>
      </c>
      <c r="C182" s="1251" t="s">
        <v>100</v>
      </c>
      <c r="D182" s="415"/>
      <c r="E182" s="400"/>
      <c r="F182" s="400"/>
      <c r="G182" s="400"/>
      <c r="H182" s="400"/>
      <c r="I182" s="400"/>
      <c r="J182" s="400"/>
      <c r="K182" s="400"/>
      <c r="L182" s="401"/>
    </row>
    <row r="183" spans="1:12" s="1105" customFormat="1" ht="15.75" customHeight="1" x14ac:dyDescent="0.2">
      <c r="A183" s="1039"/>
      <c r="B183" s="1252" t="s">
        <v>483</v>
      </c>
      <c r="C183" s="1253" t="s">
        <v>740</v>
      </c>
      <c r="D183" s="319"/>
      <c r="E183" s="320"/>
      <c r="F183" s="320"/>
      <c r="G183" s="320"/>
      <c r="H183" s="320"/>
      <c r="I183" s="320"/>
      <c r="J183" s="320"/>
      <c r="K183" s="320"/>
      <c r="L183" s="321"/>
    </row>
    <row r="184" spans="1:12" ht="12" customHeight="1" x14ac:dyDescent="0.2">
      <c r="A184" s="1039" t="s">
        <v>869</v>
      </c>
      <c r="B184" s="1235" t="s">
        <v>698</v>
      </c>
      <c r="C184" s="1236">
        <v>2190</v>
      </c>
      <c r="D184" s="403"/>
      <c r="E184" s="403"/>
      <c r="F184" s="403"/>
      <c r="G184" s="403"/>
      <c r="H184" s="403"/>
      <c r="I184" s="403"/>
      <c r="J184" s="404"/>
      <c r="K184" s="404"/>
      <c r="L184" s="207">
        <f>SUM(D184:K184)</f>
        <v>0</v>
      </c>
    </row>
    <row r="185" spans="1:12" s="1105" customFormat="1" ht="15.75" customHeight="1" x14ac:dyDescent="0.2">
      <c r="A185" s="1039"/>
      <c r="B185" s="1244" t="s">
        <v>223</v>
      </c>
      <c r="C185" s="1245"/>
      <c r="D185" s="319"/>
      <c r="E185" s="320"/>
      <c r="F185" s="320"/>
      <c r="G185" s="320"/>
      <c r="H185" s="320"/>
      <c r="I185" s="320"/>
      <c r="J185" s="320"/>
      <c r="K185" s="320"/>
      <c r="L185" s="321"/>
    </row>
    <row r="186" spans="1:12" ht="12" customHeight="1" x14ac:dyDescent="0.2">
      <c r="A186" s="1039"/>
      <c r="B186" s="1235" t="s">
        <v>364</v>
      </c>
      <c r="C186" s="1236">
        <v>2550</v>
      </c>
      <c r="D186" s="403">
        <v>59000</v>
      </c>
      <c r="E186" s="403">
        <v>2500</v>
      </c>
      <c r="F186" s="403">
        <v>1188500</v>
      </c>
      <c r="G186" s="403"/>
      <c r="H186" s="403"/>
      <c r="I186" s="403"/>
      <c r="J186" s="404"/>
      <c r="K186" s="404"/>
      <c r="L186" s="207">
        <f>SUM(D186:K186)</f>
        <v>1250000</v>
      </c>
    </row>
    <row r="187" spans="1:12" ht="12" customHeight="1" x14ac:dyDescent="0.2">
      <c r="A187" s="1039" t="s">
        <v>870</v>
      </c>
      <c r="B187" s="1235" t="s">
        <v>896</v>
      </c>
      <c r="C187" s="1236">
        <v>2900</v>
      </c>
      <c r="D187" s="403"/>
      <c r="E187" s="403"/>
      <c r="F187" s="403"/>
      <c r="G187" s="403"/>
      <c r="H187" s="403"/>
      <c r="I187" s="403"/>
      <c r="J187" s="404"/>
      <c r="K187" s="404"/>
      <c r="L187" s="207">
        <f>SUM(D187:K187)</f>
        <v>0</v>
      </c>
    </row>
    <row r="188" spans="1:12" ht="12" customHeight="1" thickBot="1" x14ac:dyDescent="0.25">
      <c r="A188" s="1039"/>
      <c r="B188" s="1233" t="s">
        <v>506</v>
      </c>
      <c r="C188" s="1063">
        <v>2000</v>
      </c>
      <c r="D188" s="405">
        <f>SUM(D184:D187)</f>
        <v>59000</v>
      </c>
      <c r="E188" s="405">
        <f t="shared" ref="E188:L188" si="22">SUM(E184,E186,E187)</f>
        <v>2500</v>
      </c>
      <c r="F188" s="405">
        <f t="shared" si="22"/>
        <v>1188500</v>
      </c>
      <c r="G188" s="405">
        <f t="shared" si="22"/>
        <v>0</v>
      </c>
      <c r="H188" s="405">
        <f t="shared" si="22"/>
        <v>0</v>
      </c>
      <c r="I188" s="405">
        <f t="shared" si="22"/>
        <v>0</v>
      </c>
      <c r="J188" s="405">
        <f t="shared" si="22"/>
        <v>0</v>
      </c>
      <c r="K188" s="405">
        <f t="shared" si="22"/>
        <v>0</v>
      </c>
      <c r="L188" s="405">
        <f t="shared" si="22"/>
        <v>1250000</v>
      </c>
    </row>
    <row r="189" spans="1:12" s="1105" customFormat="1" ht="13.5" thickTop="1" thickBot="1" x14ac:dyDescent="0.25">
      <c r="A189" s="1039"/>
      <c r="B189" s="1242" t="s">
        <v>498</v>
      </c>
      <c r="C189" s="1243">
        <v>3000</v>
      </c>
      <c r="D189" s="403"/>
      <c r="E189" s="403"/>
      <c r="F189" s="403"/>
      <c r="G189" s="403"/>
      <c r="H189" s="403"/>
      <c r="I189" s="403"/>
      <c r="J189" s="404"/>
      <c r="K189" s="404"/>
      <c r="L189" s="207">
        <f>SUM(D189:K189)</f>
        <v>0</v>
      </c>
    </row>
    <row r="190" spans="1:12" s="1105" customFormat="1" ht="12.75" thickTop="1" x14ac:dyDescent="0.2">
      <c r="A190" s="1039"/>
      <c r="B190" s="1238" t="s">
        <v>616</v>
      </c>
      <c r="C190" s="1239">
        <v>4000</v>
      </c>
      <c r="D190" s="406"/>
      <c r="E190" s="407"/>
      <c r="F190" s="407"/>
      <c r="G190" s="407"/>
      <c r="H190" s="407"/>
      <c r="I190" s="407"/>
      <c r="J190" s="407"/>
      <c r="K190" s="407"/>
      <c r="L190" s="408"/>
    </row>
    <row r="191" spans="1:12" s="1105" customFormat="1" ht="12" x14ac:dyDescent="0.2">
      <c r="A191" s="1039"/>
      <c r="B191" s="1240" t="s">
        <v>608</v>
      </c>
      <c r="C191" s="1241">
        <v>4100</v>
      </c>
      <c r="D191" s="319"/>
      <c r="E191" s="320"/>
      <c r="F191" s="320"/>
      <c r="G191" s="320"/>
      <c r="H191" s="320"/>
      <c r="I191" s="320"/>
      <c r="J191" s="320"/>
      <c r="K191" s="320"/>
      <c r="L191" s="321"/>
    </row>
    <row r="192" spans="1:12" ht="12" customHeight="1" x14ac:dyDescent="0.2">
      <c r="A192" s="1039"/>
      <c r="B192" s="1235" t="s">
        <v>512</v>
      </c>
      <c r="C192" s="1236">
        <v>4110</v>
      </c>
      <c r="D192" s="402"/>
      <c r="E192" s="402"/>
      <c r="F192" s="404"/>
      <c r="G192" s="402"/>
      <c r="H192" s="402"/>
      <c r="I192" s="404"/>
      <c r="J192" s="402"/>
      <c r="K192" s="409"/>
      <c r="L192" s="207">
        <f t="shared" ref="L192:L197" si="23">SUM(D192:K192)</f>
        <v>0</v>
      </c>
    </row>
    <row r="193" spans="1:12" ht="12" customHeight="1" x14ac:dyDescent="0.2">
      <c r="A193" s="1039"/>
      <c r="B193" s="1235" t="s">
        <v>226</v>
      </c>
      <c r="C193" s="1236">
        <v>4120</v>
      </c>
      <c r="D193" s="402"/>
      <c r="E193" s="402"/>
      <c r="F193" s="404"/>
      <c r="G193" s="402"/>
      <c r="H193" s="402"/>
      <c r="I193" s="404"/>
      <c r="J193" s="402"/>
      <c r="K193" s="409"/>
      <c r="L193" s="207">
        <f t="shared" si="23"/>
        <v>0</v>
      </c>
    </row>
    <row r="194" spans="1:12" ht="12" customHeight="1" x14ac:dyDescent="0.2">
      <c r="A194" s="1039"/>
      <c r="B194" s="1235" t="s">
        <v>411</v>
      </c>
      <c r="C194" s="1236">
        <v>4130</v>
      </c>
      <c r="D194" s="402"/>
      <c r="E194" s="402"/>
      <c r="F194" s="403"/>
      <c r="G194" s="402"/>
      <c r="H194" s="402"/>
      <c r="I194" s="403"/>
      <c r="J194" s="402"/>
      <c r="K194" s="409"/>
      <c r="L194" s="207">
        <f t="shared" si="23"/>
        <v>0</v>
      </c>
    </row>
    <row r="195" spans="1:12" ht="12" customHeight="1" x14ac:dyDescent="0.2">
      <c r="A195" s="1039"/>
      <c r="B195" s="1235" t="s">
        <v>196</v>
      </c>
      <c r="C195" s="1236">
        <v>4140</v>
      </c>
      <c r="D195" s="402"/>
      <c r="E195" s="402"/>
      <c r="F195" s="403"/>
      <c r="G195" s="402"/>
      <c r="H195" s="402"/>
      <c r="I195" s="403"/>
      <c r="J195" s="402"/>
      <c r="K195" s="409"/>
      <c r="L195" s="207">
        <f t="shared" si="23"/>
        <v>0</v>
      </c>
    </row>
    <row r="196" spans="1:12" ht="12" customHeight="1" x14ac:dyDescent="0.2">
      <c r="A196" s="1039"/>
      <c r="B196" s="1235" t="s">
        <v>254</v>
      </c>
      <c r="C196" s="1236">
        <v>4170</v>
      </c>
      <c r="D196" s="402"/>
      <c r="E196" s="402"/>
      <c r="F196" s="403"/>
      <c r="G196" s="402"/>
      <c r="H196" s="402"/>
      <c r="I196" s="403"/>
      <c r="J196" s="402"/>
      <c r="K196" s="409"/>
      <c r="L196" s="207">
        <f t="shared" si="23"/>
        <v>0</v>
      </c>
    </row>
    <row r="197" spans="1:12" ht="12" customHeight="1" x14ac:dyDescent="0.2">
      <c r="A197" s="1039" t="s">
        <v>871</v>
      </c>
      <c r="B197" s="1237" t="s">
        <v>895</v>
      </c>
      <c r="C197" s="1236">
        <v>4190</v>
      </c>
      <c r="D197" s="402"/>
      <c r="E197" s="402"/>
      <c r="F197" s="403"/>
      <c r="G197" s="402"/>
      <c r="H197" s="402"/>
      <c r="I197" s="403"/>
      <c r="J197" s="402"/>
      <c r="K197" s="409"/>
      <c r="L197" s="207">
        <f t="shared" si="23"/>
        <v>0</v>
      </c>
    </row>
    <row r="198" spans="1:12" ht="12" customHeight="1" thickBot="1" x14ac:dyDescent="0.25">
      <c r="A198" s="1039"/>
      <c r="B198" s="1233" t="s">
        <v>613</v>
      </c>
      <c r="C198" s="1234">
        <v>4100</v>
      </c>
      <c r="D198" s="402"/>
      <c r="E198" s="402"/>
      <c r="F198" s="411">
        <f>SUM(F192:F197)</f>
        <v>0</v>
      </c>
      <c r="G198" s="402"/>
      <c r="H198" s="402"/>
      <c r="I198" s="411">
        <f>SUM(I192:I197)</f>
        <v>0</v>
      </c>
      <c r="J198" s="402"/>
      <c r="K198" s="409"/>
      <c r="L198" s="411">
        <f>SUM(L192:L197)</f>
        <v>0</v>
      </c>
    </row>
    <row r="199" spans="1:12" s="1105" customFormat="1" ht="25.5" thickTop="1" thickBot="1" x14ac:dyDescent="0.25">
      <c r="A199" s="1039" t="s">
        <v>857</v>
      </c>
      <c r="B199" s="1231" t="s">
        <v>3079</v>
      </c>
      <c r="C199" s="1232">
        <v>4400</v>
      </c>
      <c r="D199" s="402"/>
      <c r="E199" s="402"/>
      <c r="F199" s="412"/>
      <c r="G199" s="402"/>
      <c r="H199" s="402"/>
      <c r="I199" s="413"/>
      <c r="J199" s="402"/>
      <c r="K199" s="409"/>
      <c r="L199" s="207">
        <f>SUM(D199:K199)</f>
        <v>0</v>
      </c>
    </row>
    <row r="200" spans="1:12" ht="13.5" thickTop="1" thickBot="1" x14ac:dyDescent="0.25">
      <c r="A200" s="1039"/>
      <c r="B200" s="1225" t="s">
        <v>611</v>
      </c>
      <c r="C200" s="1226">
        <v>4000</v>
      </c>
      <c r="D200" s="402"/>
      <c r="E200" s="402"/>
      <c r="F200" s="414">
        <f>SUM(F198,F199)</f>
        <v>0</v>
      </c>
      <c r="G200" s="402"/>
      <c r="H200" s="402"/>
      <c r="I200" s="414">
        <f>SUM(I198,I199)</f>
        <v>0</v>
      </c>
      <c r="J200" s="402"/>
      <c r="K200" s="402"/>
      <c r="L200" s="414">
        <f>SUM(L198,L199)</f>
        <v>0</v>
      </c>
    </row>
    <row r="201" spans="1:12" ht="15.75" customHeight="1" thickTop="1" x14ac:dyDescent="0.2">
      <c r="A201" s="1039"/>
      <c r="B201" s="1227" t="s">
        <v>40</v>
      </c>
      <c r="C201" s="1228">
        <v>5000</v>
      </c>
      <c r="D201" s="415"/>
      <c r="E201" s="400"/>
      <c r="F201" s="416"/>
      <c r="G201" s="400"/>
      <c r="H201" s="400"/>
      <c r="I201" s="416"/>
      <c r="J201" s="400"/>
      <c r="K201" s="400"/>
      <c r="L201" s="417"/>
    </row>
    <row r="202" spans="1:12" s="1105" customFormat="1" ht="15.75" customHeight="1" x14ac:dyDescent="0.2">
      <c r="A202" s="1039"/>
      <c r="B202" s="1229" t="s">
        <v>198</v>
      </c>
      <c r="C202" s="1230" t="s">
        <v>735</v>
      </c>
      <c r="D202" s="319"/>
      <c r="E202" s="320"/>
      <c r="F202" s="320"/>
      <c r="G202" s="320"/>
      <c r="H202" s="320"/>
      <c r="I202" s="320"/>
      <c r="J202" s="320"/>
      <c r="K202" s="320"/>
      <c r="L202" s="321"/>
    </row>
    <row r="203" spans="1:12" ht="12" x14ac:dyDescent="0.2">
      <c r="A203" s="1039"/>
      <c r="B203" s="1221" t="s">
        <v>295</v>
      </c>
      <c r="C203" s="1222">
        <v>5110</v>
      </c>
      <c r="D203" s="418"/>
      <c r="E203" s="418"/>
      <c r="F203" s="418"/>
      <c r="G203" s="418"/>
      <c r="H203" s="418"/>
      <c r="I203" s="403"/>
      <c r="J203" s="418"/>
      <c r="K203" s="418"/>
      <c r="L203" s="207">
        <f t="shared" ref="L203:L210" si="24">SUM(D203:K203)</f>
        <v>0</v>
      </c>
    </row>
    <row r="204" spans="1:12" ht="12" x14ac:dyDescent="0.2">
      <c r="A204" s="1039"/>
      <c r="B204" s="1221" t="s">
        <v>396</v>
      </c>
      <c r="C204" s="1223">
        <v>5120</v>
      </c>
      <c r="D204" s="418"/>
      <c r="E204" s="418"/>
      <c r="F204" s="418"/>
      <c r="G204" s="418"/>
      <c r="H204" s="418"/>
      <c r="I204" s="403"/>
      <c r="J204" s="418"/>
      <c r="K204" s="418"/>
      <c r="L204" s="207">
        <f t="shared" si="24"/>
        <v>0</v>
      </c>
    </row>
    <row r="205" spans="1:12" ht="12" x14ac:dyDescent="0.2">
      <c r="A205" s="1039"/>
      <c r="B205" s="1224" t="s">
        <v>123</v>
      </c>
      <c r="C205" s="1223">
        <v>5130</v>
      </c>
      <c r="D205" s="418"/>
      <c r="E205" s="418"/>
      <c r="F205" s="418"/>
      <c r="G205" s="418"/>
      <c r="H205" s="418"/>
      <c r="I205" s="403"/>
      <c r="J205" s="418"/>
      <c r="K205" s="418"/>
      <c r="L205" s="207">
        <f t="shared" si="24"/>
        <v>0</v>
      </c>
    </row>
    <row r="206" spans="1:12" ht="12" x14ac:dyDescent="0.2">
      <c r="A206" s="1039"/>
      <c r="B206" s="1221" t="s">
        <v>414</v>
      </c>
      <c r="C206" s="1223">
        <v>5140</v>
      </c>
      <c r="D206" s="418"/>
      <c r="E206" s="418"/>
      <c r="F206" s="418"/>
      <c r="G206" s="418"/>
      <c r="H206" s="418"/>
      <c r="I206" s="403"/>
      <c r="J206" s="418"/>
      <c r="K206" s="418"/>
      <c r="L206" s="207">
        <f t="shared" si="24"/>
        <v>0</v>
      </c>
    </row>
    <row r="207" spans="1:12" ht="12" x14ac:dyDescent="0.2">
      <c r="A207" s="1039" t="s">
        <v>872</v>
      </c>
      <c r="B207" s="1221" t="s">
        <v>694</v>
      </c>
      <c r="C207" s="1223">
        <v>5150</v>
      </c>
      <c r="D207" s="418"/>
      <c r="E207" s="418"/>
      <c r="F207" s="418"/>
      <c r="G207" s="418"/>
      <c r="H207" s="418"/>
      <c r="I207" s="403"/>
      <c r="J207" s="418"/>
      <c r="K207" s="418"/>
      <c r="L207" s="207">
        <f t="shared" si="24"/>
        <v>0</v>
      </c>
    </row>
    <row r="208" spans="1:12" ht="12" customHeight="1" thickBot="1" x14ac:dyDescent="0.25">
      <c r="A208" s="1039"/>
      <c r="B208" s="1220" t="s">
        <v>440</v>
      </c>
      <c r="C208" s="1063">
        <v>5100</v>
      </c>
      <c r="D208" s="354"/>
      <c r="E208" s="354"/>
      <c r="F208" s="354"/>
      <c r="G208" s="354"/>
      <c r="H208" s="354"/>
      <c r="I208" s="419">
        <f>SUM(I203:I207)</f>
        <v>0</v>
      </c>
      <c r="J208" s="354"/>
      <c r="K208" s="354"/>
      <c r="L208" s="623">
        <f t="shared" si="24"/>
        <v>0</v>
      </c>
    </row>
    <row r="209" spans="1:12" s="1105" customFormat="1" ht="15.75" customHeight="1" thickTop="1" x14ac:dyDescent="0.2">
      <c r="A209" s="1039"/>
      <c r="B209" s="1216" t="s">
        <v>216</v>
      </c>
      <c r="C209" s="1217">
        <v>5200</v>
      </c>
      <c r="D209" s="354"/>
      <c r="E209" s="354"/>
      <c r="F209" s="354"/>
      <c r="G209" s="354"/>
      <c r="H209" s="354"/>
      <c r="I209" s="403"/>
      <c r="J209" s="354"/>
      <c r="K209" s="354"/>
      <c r="L209" s="624">
        <f>I209</f>
        <v>0</v>
      </c>
    </row>
    <row r="210" spans="1:12" s="1105" customFormat="1" ht="26.25" customHeight="1" x14ac:dyDescent="0.2">
      <c r="A210" s="1039" t="s">
        <v>3124</v>
      </c>
      <c r="B210" s="1218" t="s">
        <v>3122</v>
      </c>
      <c r="C210" s="1613">
        <v>5300</v>
      </c>
      <c r="D210" s="354"/>
      <c r="E210" s="354"/>
      <c r="F210" s="354"/>
      <c r="G210" s="354"/>
      <c r="H210" s="418"/>
      <c r="I210" s="403"/>
      <c r="J210" s="354"/>
      <c r="K210" s="354"/>
      <c r="L210" s="207">
        <f t="shared" si="24"/>
        <v>0</v>
      </c>
    </row>
    <row r="211" spans="1:12" s="1105" customFormat="1" ht="15.75" customHeight="1" thickBot="1" x14ac:dyDescent="0.25">
      <c r="A211" s="1039" t="s">
        <v>873</v>
      </c>
      <c r="B211" s="1219" t="s">
        <v>890</v>
      </c>
      <c r="C211" s="1619">
        <v>5400</v>
      </c>
      <c r="D211" s="354"/>
      <c r="E211" s="354"/>
      <c r="F211" s="354"/>
      <c r="G211" s="354"/>
      <c r="H211" s="418"/>
      <c r="I211" s="403"/>
      <c r="J211" s="354"/>
      <c r="K211" s="354"/>
      <c r="L211" s="420">
        <f>I211</f>
        <v>0</v>
      </c>
    </row>
    <row r="212" spans="1:12" ht="12" customHeight="1" thickTop="1" thickBot="1" x14ac:dyDescent="0.25">
      <c r="A212" s="1039"/>
      <c r="B212" s="1215" t="s">
        <v>176</v>
      </c>
      <c r="C212" s="1635">
        <v>5000</v>
      </c>
      <c r="D212" s="418"/>
      <c r="E212" s="418"/>
      <c r="F212" s="418"/>
      <c r="G212" s="418"/>
      <c r="H212" s="418"/>
      <c r="I212" s="421">
        <f>SUM(I208:I211)</f>
        <v>0</v>
      </c>
      <c r="J212" s="418"/>
      <c r="K212" s="418"/>
      <c r="L212" s="421">
        <f>SUM(L208:L211)</f>
        <v>0</v>
      </c>
    </row>
    <row r="213" spans="1:12" s="1105" customFormat="1" ht="15.75" customHeight="1" thickTop="1" x14ac:dyDescent="0.2">
      <c r="A213" s="1039"/>
      <c r="B213" s="1213" t="s">
        <v>177</v>
      </c>
      <c r="C213" s="1214">
        <v>6000</v>
      </c>
      <c r="D213" s="418"/>
      <c r="E213" s="418"/>
      <c r="F213" s="418"/>
      <c r="G213" s="418"/>
      <c r="H213" s="418"/>
      <c r="I213" s="422"/>
      <c r="J213" s="418"/>
      <c r="K213" s="418"/>
      <c r="L213" s="207">
        <f>SUM(D213:K213)</f>
        <v>0</v>
      </c>
    </row>
    <row r="214" spans="1:12" ht="12" customHeight="1" thickBot="1" x14ac:dyDescent="0.25">
      <c r="A214" s="1039"/>
      <c r="B214" s="1740" t="s">
        <v>439</v>
      </c>
      <c r="C214" s="1741"/>
      <c r="D214" s="419">
        <f>SUM(D188,D189)</f>
        <v>59000</v>
      </c>
      <c r="E214" s="419">
        <f t="shared" ref="E214:L214" si="25">SUM(E188,E189,E200,E212,E213)</f>
        <v>2500</v>
      </c>
      <c r="F214" s="419">
        <f>SUM(F188,F189,F200,F212,F213)</f>
        <v>1188500</v>
      </c>
      <c r="G214" s="419">
        <f t="shared" si="25"/>
        <v>0</v>
      </c>
      <c r="H214" s="419">
        <f t="shared" si="25"/>
        <v>0</v>
      </c>
      <c r="I214" s="419">
        <f>SUM(I188,I189,I200,I212,I213)</f>
        <v>0</v>
      </c>
      <c r="J214" s="419">
        <f>SUM(J188,J189,J200,J212,J213)</f>
        <v>0</v>
      </c>
      <c r="K214" s="419">
        <f t="shared" si="25"/>
        <v>0</v>
      </c>
      <c r="L214" s="419">
        <f t="shared" si="25"/>
        <v>1250000</v>
      </c>
    </row>
    <row r="215" spans="1:12" ht="14.25" thickTop="1" thickBot="1" x14ac:dyDescent="0.25">
      <c r="A215" s="1039"/>
      <c r="B215" s="1207" t="s">
        <v>67</v>
      </c>
      <c r="C215" s="1636"/>
      <c r="D215" s="423"/>
      <c r="E215" s="423"/>
      <c r="F215" s="423"/>
      <c r="G215" s="423"/>
      <c r="H215" s="423"/>
      <c r="I215" s="423"/>
      <c r="J215" s="423"/>
      <c r="K215" s="424"/>
      <c r="L215" s="421">
        <f>'EstRev 6-11'!G270-'EstExp 12-20'!L214</f>
        <v>0</v>
      </c>
    </row>
    <row r="216" spans="1:12" ht="8.25" customHeight="1" thickTop="1" x14ac:dyDescent="0.2">
      <c r="A216" s="1039"/>
      <c r="B216" s="1208"/>
      <c r="C216" s="1630"/>
      <c r="D216" s="425"/>
      <c r="E216" s="425"/>
      <c r="F216" s="425"/>
      <c r="G216" s="425"/>
      <c r="H216" s="425"/>
      <c r="I216" s="425"/>
      <c r="J216" s="425"/>
      <c r="K216" s="425"/>
      <c r="L216" s="425"/>
    </row>
    <row r="217" spans="1:12" s="1105" customFormat="1" ht="16.7" customHeight="1" x14ac:dyDescent="0.2">
      <c r="A217" s="1039"/>
      <c r="B217" s="1209" t="s">
        <v>125</v>
      </c>
      <c r="C217" s="1210"/>
      <c r="D217" s="1211"/>
      <c r="E217" s="426"/>
      <c r="F217" s="426"/>
      <c r="G217" s="426"/>
      <c r="H217" s="426"/>
      <c r="I217" s="426"/>
      <c r="J217" s="426"/>
      <c r="K217" s="426"/>
      <c r="L217" s="427"/>
    </row>
    <row r="218" spans="1:12" s="1105" customFormat="1" ht="15.75" customHeight="1" x14ac:dyDescent="0.2">
      <c r="A218" s="1039"/>
      <c r="B218" s="1202" t="s">
        <v>178</v>
      </c>
      <c r="C218" s="1212" t="s">
        <v>240</v>
      </c>
      <c r="D218" s="434"/>
      <c r="E218" s="428"/>
      <c r="F218" s="428"/>
      <c r="G218" s="428"/>
      <c r="H218" s="428"/>
      <c r="I218" s="428"/>
      <c r="J218" s="428"/>
      <c r="K218" s="428"/>
      <c r="L218" s="429"/>
    </row>
    <row r="219" spans="1:12" ht="12" x14ac:dyDescent="0.2">
      <c r="A219" s="1039"/>
      <c r="B219" s="1200" t="s">
        <v>255</v>
      </c>
      <c r="C219" s="1201">
        <v>1100</v>
      </c>
      <c r="D219" s="431"/>
      <c r="E219" s="430">
        <v>3400000</v>
      </c>
      <c r="F219" s="431"/>
      <c r="G219" s="431"/>
      <c r="H219" s="431"/>
      <c r="I219" s="431"/>
      <c r="J219" s="431"/>
      <c r="K219" s="431"/>
      <c r="L219" s="289">
        <f>SUM(D219:K219)</f>
        <v>3400000</v>
      </c>
    </row>
    <row r="220" spans="1:12" ht="12" x14ac:dyDescent="0.2">
      <c r="A220" s="1039"/>
      <c r="B220" s="1200" t="s">
        <v>279</v>
      </c>
      <c r="C220" s="1201">
        <v>1125</v>
      </c>
      <c r="D220" s="431"/>
      <c r="E220" s="430"/>
      <c r="F220" s="431"/>
      <c r="G220" s="431"/>
      <c r="H220" s="431"/>
      <c r="I220" s="431"/>
      <c r="J220" s="431"/>
      <c r="K220" s="431"/>
      <c r="L220" s="207">
        <f t="shared" ref="L220:L232" si="26">SUM(D220:K220)</f>
        <v>0</v>
      </c>
    </row>
    <row r="221" spans="1:12" ht="12" x14ac:dyDescent="0.2">
      <c r="A221" s="1039"/>
      <c r="B221" s="1206" t="s">
        <v>486</v>
      </c>
      <c r="C221" s="1201">
        <v>1200</v>
      </c>
      <c r="D221" s="431"/>
      <c r="E221" s="430"/>
      <c r="F221" s="431"/>
      <c r="G221" s="431"/>
      <c r="H221" s="431"/>
      <c r="I221" s="431"/>
      <c r="J221" s="431"/>
      <c r="K221" s="431"/>
      <c r="L221" s="207">
        <f t="shared" si="26"/>
        <v>0</v>
      </c>
    </row>
    <row r="222" spans="1:12" ht="12" x14ac:dyDescent="0.2">
      <c r="A222" s="1039"/>
      <c r="B222" s="1206" t="s">
        <v>280</v>
      </c>
      <c r="C222" s="1201">
        <v>1225</v>
      </c>
      <c r="D222" s="431"/>
      <c r="E222" s="430"/>
      <c r="F222" s="431"/>
      <c r="G222" s="431"/>
      <c r="H222" s="431"/>
      <c r="I222" s="431"/>
      <c r="J222" s="431"/>
      <c r="K222" s="431"/>
      <c r="L222" s="207">
        <f t="shared" si="26"/>
        <v>0</v>
      </c>
    </row>
    <row r="223" spans="1:12" ht="12" x14ac:dyDescent="0.2">
      <c r="A223" s="1039"/>
      <c r="B223" s="1200" t="s">
        <v>115</v>
      </c>
      <c r="C223" s="1201">
        <v>1250</v>
      </c>
      <c r="D223" s="431"/>
      <c r="E223" s="430"/>
      <c r="F223" s="431"/>
      <c r="G223" s="431"/>
      <c r="H223" s="431"/>
      <c r="I223" s="431"/>
      <c r="J223" s="431"/>
      <c r="K223" s="431"/>
      <c r="L223" s="207">
        <f t="shared" si="26"/>
        <v>0</v>
      </c>
    </row>
    <row r="224" spans="1:12" ht="12" x14ac:dyDescent="0.2">
      <c r="A224" s="1039"/>
      <c r="B224" s="1200" t="s">
        <v>381</v>
      </c>
      <c r="C224" s="1201">
        <v>1275</v>
      </c>
      <c r="D224" s="431"/>
      <c r="E224" s="430"/>
      <c r="F224" s="431"/>
      <c r="G224" s="431"/>
      <c r="H224" s="431"/>
      <c r="I224" s="431"/>
      <c r="J224" s="431"/>
      <c r="K224" s="431"/>
      <c r="L224" s="207">
        <f t="shared" si="26"/>
        <v>0</v>
      </c>
    </row>
    <row r="225" spans="1:12" ht="12" x14ac:dyDescent="0.2">
      <c r="A225" s="1039"/>
      <c r="B225" s="1200" t="s">
        <v>261</v>
      </c>
      <c r="C225" s="1201">
        <v>1300</v>
      </c>
      <c r="D225" s="431"/>
      <c r="E225" s="430"/>
      <c r="F225" s="431"/>
      <c r="G225" s="431"/>
      <c r="H225" s="431"/>
      <c r="I225" s="431"/>
      <c r="J225" s="431"/>
      <c r="K225" s="431"/>
      <c r="L225" s="207">
        <f t="shared" si="26"/>
        <v>0</v>
      </c>
    </row>
    <row r="226" spans="1:12" ht="12" x14ac:dyDescent="0.2">
      <c r="A226" s="1039"/>
      <c r="B226" s="1200" t="s">
        <v>281</v>
      </c>
      <c r="C226" s="1201">
        <v>1400</v>
      </c>
      <c r="D226" s="431"/>
      <c r="E226" s="430"/>
      <c r="F226" s="431"/>
      <c r="G226" s="431"/>
      <c r="H226" s="431"/>
      <c r="I226" s="431"/>
      <c r="J226" s="431"/>
      <c r="K226" s="431"/>
      <c r="L226" s="207">
        <f t="shared" si="26"/>
        <v>0</v>
      </c>
    </row>
    <row r="227" spans="1:12" ht="12" x14ac:dyDescent="0.2">
      <c r="A227" s="1039"/>
      <c r="B227" s="1200" t="s">
        <v>262</v>
      </c>
      <c r="C227" s="1201">
        <v>1500</v>
      </c>
      <c r="D227" s="431"/>
      <c r="E227" s="430"/>
      <c r="F227" s="431"/>
      <c r="G227" s="431"/>
      <c r="H227" s="431"/>
      <c r="I227" s="431"/>
      <c r="J227" s="431"/>
      <c r="K227" s="431"/>
      <c r="L227" s="207">
        <f t="shared" si="26"/>
        <v>0</v>
      </c>
    </row>
    <row r="228" spans="1:12" ht="12" x14ac:dyDescent="0.2">
      <c r="A228" s="1039"/>
      <c r="B228" s="1200" t="s">
        <v>263</v>
      </c>
      <c r="C228" s="1201">
        <v>1600</v>
      </c>
      <c r="D228" s="431"/>
      <c r="E228" s="430"/>
      <c r="F228" s="431"/>
      <c r="G228" s="431"/>
      <c r="H228" s="431"/>
      <c r="I228" s="431"/>
      <c r="J228" s="431"/>
      <c r="K228" s="431"/>
      <c r="L228" s="207">
        <f t="shared" si="26"/>
        <v>0</v>
      </c>
    </row>
    <row r="229" spans="1:12" ht="12" x14ac:dyDescent="0.2">
      <c r="A229" s="1039"/>
      <c r="B229" s="1200" t="s">
        <v>113</v>
      </c>
      <c r="C229" s="1201">
        <v>1650</v>
      </c>
      <c r="D229" s="431"/>
      <c r="E229" s="430"/>
      <c r="F229" s="431"/>
      <c r="G229" s="431"/>
      <c r="H229" s="431"/>
      <c r="I229" s="431"/>
      <c r="J229" s="431"/>
      <c r="K229" s="431"/>
      <c r="L229" s="207">
        <f t="shared" si="26"/>
        <v>0</v>
      </c>
    </row>
    <row r="230" spans="1:12" ht="12" x14ac:dyDescent="0.2">
      <c r="A230" s="1039"/>
      <c r="B230" s="1200" t="s">
        <v>282</v>
      </c>
      <c r="C230" s="1201">
        <v>1700</v>
      </c>
      <c r="D230" s="431"/>
      <c r="E230" s="430"/>
      <c r="F230" s="431"/>
      <c r="G230" s="431"/>
      <c r="H230" s="431"/>
      <c r="I230" s="431"/>
      <c r="J230" s="431"/>
      <c r="K230" s="431"/>
      <c r="L230" s="207">
        <f t="shared" si="26"/>
        <v>0</v>
      </c>
    </row>
    <row r="231" spans="1:12" ht="12" x14ac:dyDescent="0.2">
      <c r="A231" s="1039"/>
      <c r="B231" s="1200" t="s">
        <v>114</v>
      </c>
      <c r="C231" s="1201">
        <v>1800</v>
      </c>
      <c r="D231" s="431"/>
      <c r="E231" s="430"/>
      <c r="F231" s="431"/>
      <c r="G231" s="431"/>
      <c r="H231" s="431"/>
      <c r="I231" s="431"/>
      <c r="J231" s="431"/>
      <c r="K231" s="431"/>
      <c r="L231" s="207">
        <f t="shared" si="26"/>
        <v>0</v>
      </c>
    </row>
    <row r="232" spans="1:12" ht="12" x14ac:dyDescent="0.2">
      <c r="A232" s="1039"/>
      <c r="B232" s="1200" t="s">
        <v>128</v>
      </c>
      <c r="C232" s="1201">
        <v>1900</v>
      </c>
      <c r="D232" s="431"/>
      <c r="E232" s="430"/>
      <c r="F232" s="431"/>
      <c r="G232" s="431"/>
      <c r="H232" s="431"/>
      <c r="I232" s="431"/>
      <c r="J232" s="431"/>
      <c r="K232" s="431"/>
      <c r="L232" s="207">
        <f t="shared" si="26"/>
        <v>0</v>
      </c>
    </row>
    <row r="233" spans="1:12" ht="12" customHeight="1" thickBot="1" x14ac:dyDescent="0.25">
      <c r="A233" s="1039"/>
      <c r="B233" s="1198" t="s">
        <v>499</v>
      </c>
      <c r="C233" s="1637">
        <v>1000</v>
      </c>
      <c r="D233" s="431"/>
      <c r="E233" s="432">
        <f>SUM(E219:E232)</f>
        <v>3400000</v>
      </c>
      <c r="F233" s="431"/>
      <c r="G233" s="431"/>
      <c r="H233" s="431"/>
      <c r="I233" s="431"/>
      <c r="J233" s="431"/>
      <c r="K233" s="431"/>
      <c r="L233" s="432">
        <f>SUM(L219:L232)</f>
        <v>3400000</v>
      </c>
    </row>
    <row r="234" spans="1:12" s="1105" customFormat="1" ht="15.75" customHeight="1" thickTop="1" x14ac:dyDescent="0.2">
      <c r="A234" s="1039"/>
      <c r="B234" s="1202" t="s">
        <v>179</v>
      </c>
      <c r="C234" s="1203">
        <v>2000</v>
      </c>
      <c r="D234" s="434"/>
      <c r="E234" s="433"/>
      <c r="F234" s="434"/>
      <c r="G234" s="428"/>
      <c r="H234" s="428"/>
      <c r="I234" s="428"/>
      <c r="J234" s="428"/>
      <c r="K234" s="428"/>
      <c r="L234" s="435"/>
    </row>
    <row r="235" spans="1:12" s="1105" customFormat="1" ht="15.75" customHeight="1" x14ac:dyDescent="0.2">
      <c r="A235" s="1039"/>
      <c r="B235" s="1204" t="s">
        <v>222</v>
      </c>
      <c r="C235" s="1205">
        <v>2100</v>
      </c>
      <c r="D235" s="319"/>
      <c r="E235" s="320"/>
      <c r="F235" s="320"/>
      <c r="G235" s="320"/>
      <c r="H235" s="320"/>
      <c r="I235" s="320"/>
      <c r="J235" s="320"/>
      <c r="K235" s="320"/>
      <c r="L235" s="321"/>
    </row>
    <row r="236" spans="1:12" ht="12" x14ac:dyDescent="0.2">
      <c r="A236" s="1039"/>
      <c r="B236" s="1200" t="s">
        <v>130</v>
      </c>
      <c r="C236" s="1201">
        <v>2110</v>
      </c>
      <c r="D236" s="431"/>
      <c r="E236" s="430"/>
      <c r="F236" s="431"/>
      <c r="G236" s="431"/>
      <c r="H236" s="431"/>
      <c r="I236" s="431"/>
      <c r="J236" s="431"/>
      <c r="K236" s="431"/>
      <c r="L236" s="207">
        <f t="shared" ref="L236:L241" si="27">SUM(D236:K236)</f>
        <v>0</v>
      </c>
    </row>
    <row r="237" spans="1:12" ht="12" x14ac:dyDescent="0.2">
      <c r="A237" s="1039"/>
      <c r="B237" s="1200" t="s">
        <v>131</v>
      </c>
      <c r="C237" s="1201">
        <v>2120</v>
      </c>
      <c r="D237" s="431"/>
      <c r="E237" s="430"/>
      <c r="F237" s="431"/>
      <c r="G237" s="431"/>
      <c r="H237" s="431"/>
      <c r="I237" s="431"/>
      <c r="J237" s="431"/>
      <c r="K237" s="431"/>
      <c r="L237" s="207">
        <f t="shared" si="27"/>
        <v>0</v>
      </c>
    </row>
    <row r="238" spans="1:12" ht="12" x14ac:dyDescent="0.2">
      <c r="A238" s="1039"/>
      <c r="B238" s="1200" t="s">
        <v>132</v>
      </c>
      <c r="C238" s="1201">
        <v>2130</v>
      </c>
      <c r="D238" s="431"/>
      <c r="E238" s="430"/>
      <c r="F238" s="431"/>
      <c r="G238" s="431"/>
      <c r="H238" s="431"/>
      <c r="I238" s="431"/>
      <c r="J238" s="431"/>
      <c r="K238" s="431"/>
      <c r="L238" s="207">
        <f t="shared" si="27"/>
        <v>0</v>
      </c>
    </row>
    <row r="239" spans="1:12" ht="12" x14ac:dyDescent="0.2">
      <c r="A239" s="1039"/>
      <c r="B239" s="1200" t="s">
        <v>133</v>
      </c>
      <c r="C239" s="1201">
        <v>2140</v>
      </c>
      <c r="D239" s="431"/>
      <c r="E239" s="430"/>
      <c r="F239" s="431"/>
      <c r="G239" s="431"/>
      <c r="H239" s="431"/>
      <c r="I239" s="431"/>
      <c r="J239" s="431"/>
      <c r="K239" s="431"/>
      <c r="L239" s="207">
        <f t="shared" si="27"/>
        <v>0</v>
      </c>
    </row>
    <row r="240" spans="1:12" ht="12" x14ac:dyDescent="0.2">
      <c r="A240" s="1039"/>
      <c r="B240" s="1200" t="s">
        <v>360</v>
      </c>
      <c r="C240" s="1201">
        <v>2150</v>
      </c>
      <c r="D240" s="431"/>
      <c r="E240" s="430"/>
      <c r="F240" s="431"/>
      <c r="G240" s="431"/>
      <c r="H240" s="431"/>
      <c r="I240" s="431"/>
      <c r="J240" s="431"/>
      <c r="K240" s="431"/>
      <c r="L240" s="207">
        <f t="shared" si="27"/>
        <v>0</v>
      </c>
    </row>
    <row r="241" spans="1:12" ht="12" x14ac:dyDescent="0.2">
      <c r="A241" s="1039" t="s">
        <v>874</v>
      </c>
      <c r="B241" s="1200" t="s">
        <v>695</v>
      </c>
      <c r="C241" s="1201">
        <v>2190</v>
      </c>
      <c r="D241" s="431"/>
      <c r="E241" s="430"/>
      <c r="F241" s="431"/>
      <c r="G241" s="431"/>
      <c r="H241" s="431"/>
      <c r="I241" s="431"/>
      <c r="J241" s="431"/>
      <c r="K241" s="431"/>
      <c r="L241" s="207">
        <f t="shared" si="27"/>
        <v>0</v>
      </c>
    </row>
    <row r="242" spans="1:12" ht="12" customHeight="1" thickBot="1" x14ac:dyDescent="0.25">
      <c r="A242" s="1039"/>
      <c r="B242" s="1198" t="s">
        <v>500</v>
      </c>
      <c r="C242" s="1071">
        <v>2100</v>
      </c>
      <c r="D242" s="431"/>
      <c r="E242" s="683">
        <f>SUM(E236:E241)</f>
        <v>0</v>
      </c>
      <c r="F242" s="431"/>
      <c r="G242" s="431"/>
      <c r="H242" s="431"/>
      <c r="I242" s="431"/>
      <c r="J242" s="431"/>
      <c r="K242" s="431"/>
      <c r="L242" s="683">
        <f>SUM(L236:L241)</f>
        <v>0</v>
      </c>
    </row>
    <row r="243" spans="1:12" s="1105" customFormat="1" ht="15.75" customHeight="1" thickTop="1" x14ac:dyDescent="0.2">
      <c r="A243" s="1039"/>
      <c r="B243" s="1189" t="s">
        <v>224</v>
      </c>
      <c r="C243" s="1199" t="s">
        <v>736</v>
      </c>
      <c r="D243" s="310"/>
      <c r="E243" s="311"/>
      <c r="F243" s="311"/>
      <c r="G243" s="311"/>
      <c r="H243" s="311"/>
      <c r="I243" s="311"/>
      <c r="J243" s="311"/>
      <c r="K243" s="311"/>
      <c r="L243" s="312"/>
    </row>
    <row r="244" spans="1:12" ht="12" x14ac:dyDescent="0.2">
      <c r="A244" s="1039"/>
      <c r="B244" s="1185" t="s">
        <v>257</v>
      </c>
      <c r="C244" s="1186">
        <v>2210</v>
      </c>
      <c r="D244" s="437"/>
      <c r="E244" s="430"/>
      <c r="F244" s="438"/>
      <c r="G244" s="436"/>
      <c r="H244" s="436"/>
      <c r="I244" s="436"/>
      <c r="J244" s="436"/>
      <c r="K244" s="436"/>
      <c r="L244" s="207">
        <f>SUM(D244:K244)</f>
        <v>0</v>
      </c>
    </row>
    <row r="245" spans="1:12" ht="12" x14ac:dyDescent="0.2">
      <c r="A245" s="1039"/>
      <c r="B245" s="1196" t="s">
        <v>258</v>
      </c>
      <c r="C245" s="1638">
        <v>2220</v>
      </c>
      <c r="D245" s="437"/>
      <c r="E245" s="430"/>
      <c r="F245" s="436"/>
      <c r="G245" s="436"/>
      <c r="H245" s="436"/>
      <c r="I245" s="436"/>
      <c r="J245" s="436"/>
      <c r="K245" s="436"/>
      <c r="L245" s="207">
        <f>SUM(D245:K245)</f>
        <v>0</v>
      </c>
    </row>
    <row r="246" spans="1:12" ht="12" x14ac:dyDescent="0.2">
      <c r="A246" s="1039"/>
      <c r="B246" s="1197" t="s">
        <v>259</v>
      </c>
      <c r="C246" s="1186">
        <v>2230</v>
      </c>
      <c r="D246" s="437"/>
      <c r="E246" s="430"/>
      <c r="F246" s="436"/>
      <c r="G246" s="436"/>
      <c r="H246" s="436"/>
      <c r="I246" s="436"/>
      <c r="J246" s="436"/>
      <c r="K246" s="436"/>
      <c r="L246" s="207">
        <f>SUM(D246:K246)</f>
        <v>0</v>
      </c>
    </row>
    <row r="247" spans="1:12" ht="12" customHeight="1" thickBot="1" x14ac:dyDescent="0.25">
      <c r="A247" s="1039"/>
      <c r="B247" s="1194" t="s">
        <v>501</v>
      </c>
      <c r="C247" s="1639">
        <v>2200</v>
      </c>
      <c r="D247" s="437"/>
      <c r="E247" s="439">
        <f>SUM(E244:E246)</f>
        <v>0</v>
      </c>
      <c r="F247" s="436"/>
      <c r="G247" s="436"/>
      <c r="H247" s="436"/>
      <c r="I247" s="436"/>
      <c r="J247" s="436"/>
      <c r="K247" s="436"/>
      <c r="L247" s="440">
        <f>SUM(L244:L246)</f>
        <v>0</v>
      </c>
    </row>
    <row r="248" spans="1:12" s="1105" customFormat="1" ht="15.75" customHeight="1" thickTop="1" x14ac:dyDescent="0.2">
      <c r="A248" s="1039"/>
      <c r="B248" s="1189" t="s">
        <v>168</v>
      </c>
      <c r="C248" s="1190">
        <v>2300</v>
      </c>
      <c r="D248" s="437"/>
      <c r="E248" s="1195"/>
      <c r="F248" s="436"/>
      <c r="G248" s="436"/>
      <c r="H248" s="436"/>
      <c r="I248" s="436"/>
      <c r="J248" s="436"/>
      <c r="K248" s="436"/>
      <c r="L248" s="438"/>
    </row>
    <row r="249" spans="1:12" ht="12" x14ac:dyDescent="0.2">
      <c r="A249" s="1039"/>
      <c r="B249" s="1185" t="s">
        <v>293</v>
      </c>
      <c r="C249" s="1186">
        <v>2310</v>
      </c>
      <c r="D249" s="437"/>
      <c r="E249" s="430"/>
      <c r="F249" s="436"/>
      <c r="G249" s="436"/>
      <c r="H249" s="436"/>
      <c r="I249" s="436"/>
      <c r="J249" s="436"/>
      <c r="K249" s="436"/>
      <c r="L249" s="207">
        <f>SUM(D249:K249)</f>
        <v>0</v>
      </c>
    </row>
    <row r="250" spans="1:12" ht="12" x14ac:dyDescent="0.2">
      <c r="A250" s="1039"/>
      <c r="B250" s="1185" t="s">
        <v>294</v>
      </c>
      <c r="C250" s="1186">
        <v>2320</v>
      </c>
      <c r="D250" s="437"/>
      <c r="E250" s="430"/>
      <c r="F250" s="436"/>
      <c r="G250" s="436"/>
      <c r="H250" s="436"/>
      <c r="I250" s="436"/>
      <c r="J250" s="436"/>
      <c r="K250" s="436"/>
      <c r="L250" s="207">
        <f t="shared" ref="L250:L253" si="28">SUM(D250:K250)</f>
        <v>0</v>
      </c>
    </row>
    <row r="251" spans="1:12" ht="12" x14ac:dyDescent="0.2">
      <c r="A251" s="1039"/>
      <c r="B251" s="1185" t="s">
        <v>401</v>
      </c>
      <c r="C251" s="1186">
        <v>2330</v>
      </c>
      <c r="D251" s="437"/>
      <c r="E251" s="430"/>
      <c r="F251" s="436"/>
      <c r="G251" s="436"/>
      <c r="H251" s="436"/>
      <c r="I251" s="436"/>
      <c r="J251" s="436"/>
      <c r="K251" s="436"/>
      <c r="L251" s="207">
        <f t="shared" si="28"/>
        <v>0</v>
      </c>
    </row>
    <row r="252" spans="1:12" ht="12" x14ac:dyDescent="0.2">
      <c r="A252" s="1039"/>
      <c r="B252" s="1192" t="s">
        <v>283</v>
      </c>
      <c r="C252" s="1193">
        <v>2361</v>
      </c>
      <c r="D252" s="437"/>
      <c r="E252" s="430"/>
      <c r="F252" s="436"/>
      <c r="G252" s="436"/>
      <c r="H252" s="436"/>
      <c r="I252" s="436"/>
      <c r="J252" s="436"/>
      <c r="K252" s="436"/>
      <c r="L252" s="207">
        <f t="shared" si="28"/>
        <v>0</v>
      </c>
    </row>
    <row r="253" spans="1:12" ht="12" x14ac:dyDescent="0.2">
      <c r="A253" s="1039"/>
      <c r="B253" s="1192" t="s">
        <v>284</v>
      </c>
      <c r="C253" s="1193">
        <v>2365</v>
      </c>
      <c r="D253" s="437"/>
      <c r="E253" s="430"/>
      <c r="F253" s="436"/>
      <c r="G253" s="436"/>
      <c r="H253" s="436"/>
      <c r="I253" s="436"/>
      <c r="J253" s="436"/>
      <c r="K253" s="436"/>
      <c r="L253" s="207">
        <f t="shared" si="28"/>
        <v>0</v>
      </c>
    </row>
    <row r="254" spans="1:12" ht="12" customHeight="1" thickBot="1" x14ac:dyDescent="0.25">
      <c r="A254" s="1039"/>
      <c r="B254" s="1188" t="s">
        <v>502</v>
      </c>
      <c r="C254" s="1639">
        <v>2300</v>
      </c>
      <c r="D254" s="437"/>
      <c r="E254" s="440">
        <f>E249+E250+E251+E252+E253</f>
        <v>0</v>
      </c>
      <c r="F254" s="436"/>
      <c r="G254" s="436"/>
      <c r="H254" s="436"/>
      <c r="I254" s="436"/>
      <c r="J254" s="436"/>
      <c r="K254" s="436"/>
      <c r="L254" s="440">
        <f>L249+L250+L251+L252+L253</f>
        <v>0</v>
      </c>
    </row>
    <row r="255" spans="1:12" s="1105" customFormat="1" ht="15.75" customHeight="1" thickTop="1" x14ac:dyDescent="0.2">
      <c r="A255" s="1039"/>
      <c r="B255" s="1189" t="s">
        <v>174</v>
      </c>
      <c r="C255" s="1190">
        <v>2400</v>
      </c>
      <c r="D255" s="437"/>
      <c r="E255" s="1191"/>
      <c r="F255" s="436"/>
      <c r="G255" s="436"/>
      <c r="H255" s="436"/>
      <c r="I255" s="436"/>
      <c r="J255" s="436"/>
      <c r="K255" s="436"/>
      <c r="L255" s="438"/>
    </row>
    <row r="256" spans="1:12" ht="12" customHeight="1" x14ac:dyDescent="0.2">
      <c r="A256" s="1039"/>
      <c r="B256" s="1185" t="s">
        <v>508</v>
      </c>
      <c r="C256" s="1186">
        <v>2410</v>
      </c>
      <c r="D256" s="437"/>
      <c r="E256" s="430"/>
      <c r="F256" s="436"/>
      <c r="G256" s="436"/>
      <c r="H256" s="436"/>
      <c r="I256" s="436"/>
      <c r="J256" s="436"/>
      <c r="K256" s="436"/>
      <c r="L256" s="207">
        <f>SUM(D256:K256)</f>
        <v>0</v>
      </c>
    </row>
    <row r="257" spans="1:12" ht="12" x14ac:dyDescent="0.2">
      <c r="A257" s="1039" t="s">
        <v>875</v>
      </c>
      <c r="B257" s="1185" t="s">
        <v>692</v>
      </c>
      <c r="C257" s="1186">
        <v>2490</v>
      </c>
      <c r="D257" s="437"/>
      <c r="E257" s="430"/>
      <c r="F257" s="436"/>
      <c r="G257" s="436"/>
      <c r="H257" s="436"/>
      <c r="I257" s="436"/>
      <c r="J257" s="436"/>
      <c r="K257" s="436"/>
      <c r="L257" s="207">
        <f>SUM(D257:K257)</f>
        <v>0</v>
      </c>
    </row>
    <row r="258" spans="1:12" ht="12" customHeight="1" thickBot="1" x14ac:dyDescent="0.25">
      <c r="A258" s="1039"/>
      <c r="B258" s="1188" t="s">
        <v>503</v>
      </c>
      <c r="C258" s="1639">
        <v>2400</v>
      </c>
      <c r="D258" s="437"/>
      <c r="E258" s="440">
        <f>SUM(E256:E257)</f>
        <v>0</v>
      </c>
      <c r="F258" s="436"/>
      <c r="G258" s="436"/>
      <c r="H258" s="436"/>
      <c r="I258" s="436"/>
      <c r="J258" s="436"/>
      <c r="K258" s="436"/>
      <c r="L258" s="440">
        <f>SUM(L256:L257)</f>
        <v>0</v>
      </c>
    </row>
    <row r="259" spans="1:12" s="1105" customFormat="1" ht="15.75" customHeight="1" thickTop="1" x14ac:dyDescent="0.2">
      <c r="A259" s="1039"/>
      <c r="B259" s="1189" t="s">
        <v>223</v>
      </c>
      <c r="C259" s="1190">
        <v>2500</v>
      </c>
      <c r="D259" s="437"/>
      <c r="E259" s="1191"/>
      <c r="F259" s="436"/>
      <c r="G259" s="436"/>
      <c r="H259" s="436"/>
      <c r="I259" s="436"/>
      <c r="J259" s="436"/>
      <c r="K259" s="436"/>
      <c r="L259" s="438"/>
    </row>
    <row r="260" spans="1:12" ht="12" x14ac:dyDescent="0.2">
      <c r="A260" s="1039"/>
      <c r="B260" s="1185" t="s">
        <v>361</v>
      </c>
      <c r="C260" s="1186">
        <v>2510</v>
      </c>
      <c r="D260" s="437"/>
      <c r="E260" s="430"/>
      <c r="F260" s="436"/>
      <c r="G260" s="436"/>
      <c r="H260" s="436"/>
      <c r="I260" s="436"/>
      <c r="J260" s="436"/>
      <c r="K260" s="436"/>
      <c r="L260" s="207">
        <f>SUM(D260:K260)</f>
        <v>0</v>
      </c>
    </row>
    <row r="261" spans="1:12" ht="12" x14ac:dyDescent="0.2">
      <c r="A261" s="1039"/>
      <c r="B261" s="1185" t="s">
        <v>362</v>
      </c>
      <c r="C261" s="1186">
        <v>2520</v>
      </c>
      <c r="D261" s="437"/>
      <c r="E261" s="430"/>
      <c r="F261" s="436"/>
      <c r="G261" s="436"/>
      <c r="H261" s="436"/>
      <c r="I261" s="436"/>
      <c r="J261" s="436"/>
      <c r="K261" s="436"/>
      <c r="L261" s="207">
        <f t="shared" ref="L261:L266" si="29">SUM(D261:K261)</f>
        <v>0</v>
      </c>
    </row>
    <row r="262" spans="1:12" ht="12" x14ac:dyDescent="0.2">
      <c r="A262" s="1039"/>
      <c r="B262" s="1181" t="s">
        <v>225</v>
      </c>
      <c r="C262" s="1187" t="s">
        <v>239</v>
      </c>
      <c r="D262" s="441"/>
      <c r="E262" s="430"/>
      <c r="F262" s="442"/>
      <c r="G262" s="442"/>
      <c r="H262" s="442"/>
      <c r="I262" s="442"/>
      <c r="J262" s="442"/>
      <c r="K262" s="442"/>
      <c r="L262" s="207">
        <f t="shared" si="29"/>
        <v>0</v>
      </c>
    </row>
    <row r="263" spans="1:12" ht="12" x14ac:dyDescent="0.2">
      <c r="A263" s="1039"/>
      <c r="B263" s="1181" t="s">
        <v>251</v>
      </c>
      <c r="C263" s="1182">
        <v>2540</v>
      </c>
      <c r="D263" s="441"/>
      <c r="E263" s="430"/>
      <c r="F263" s="442"/>
      <c r="G263" s="442"/>
      <c r="H263" s="442"/>
      <c r="I263" s="442"/>
      <c r="J263" s="442"/>
      <c r="K263" s="442"/>
      <c r="L263" s="207">
        <f t="shared" si="29"/>
        <v>0</v>
      </c>
    </row>
    <row r="264" spans="1:12" ht="12" x14ac:dyDescent="0.2">
      <c r="A264" s="1039"/>
      <c r="B264" s="1181" t="s">
        <v>364</v>
      </c>
      <c r="C264" s="1182">
        <v>2550</v>
      </c>
      <c r="D264" s="441"/>
      <c r="E264" s="430"/>
      <c r="F264" s="442"/>
      <c r="G264" s="442"/>
      <c r="H264" s="442"/>
      <c r="I264" s="442"/>
      <c r="J264" s="442"/>
      <c r="K264" s="442"/>
      <c r="L264" s="207">
        <f t="shared" si="29"/>
        <v>0</v>
      </c>
    </row>
    <row r="265" spans="1:12" ht="12" x14ac:dyDescent="0.2">
      <c r="A265" s="1039"/>
      <c r="B265" s="1181" t="s">
        <v>365</v>
      </c>
      <c r="C265" s="1182">
        <v>2560</v>
      </c>
      <c r="D265" s="441"/>
      <c r="E265" s="430"/>
      <c r="F265" s="442"/>
      <c r="G265" s="442"/>
      <c r="H265" s="442"/>
      <c r="I265" s="442"/>
      <c r="J265" s="442"/>
      <c r="K265" s="442"/>
      <c r="L265" s="207">
        <f t="shared" si="29"/>
        <v>0</v>
      </c>
    </row>
    <row r="266" spans="1:12" ht="12" x14ac:dyDescent="0.2">
      <c r="A266" s="1039"/>
      <c r="B266" s="1181" t="s">
        <v>366</v>
      </c>
      <c r="C266" s="1182">
        <v>2570</v>
      </c>
      <c r="D266" s="441"/>
      <c r="E266" s="430"/>
      <c r="F266" s="442"/>
      <c r="G266" s="442"/>
      <c r="H266" s="442"/>
      <c r="I266" s="442"/>
      <c r="J266" s="442"/>
      <c r="K266" s="442"/>
      <c r="L266" s="207">
        <f t="shared" si="29"/>
        <v>0</v>
      </c>
    </row>
    <row r="267" spans="1:12" ht="12" customHeight="1" thickBot="1" x14ac:dyDescent="0.25">
      <c r="A267" s="1039"/>
      <c r="B267" s="1179" t="s">
        <v>504</v>
      </c>
      <c r="C267" s="1180">
        <v>2500</v>
      </c>
      <c r="D267" s="441"/>
      <c r="E267" s="443">
        <f>SUM(E260:E266)</f>
        <v>0</v>
      </c>
      <c r="F267" s="442"/>
      <c r="G267" s="442"/>
      <c r="H267" s="442"/>
      <c r="I267" s="442"/>
      <c r="J267" s="442"/>
      <c r="K267" s="442"/>
      <c r="L267" s="443">
        <f>SUM(L260:L266)</f>
        <v>0</v>
      </c>
    </row>
    <row r="268" spans="1:12" s="1105" customFormat="1" ht="15.75" customHeight="1" thickTop="1" x14ac:dyDescent="0.2">
      <c r="A268" s="1039"/>
      <c r="B268" s="1184" t="s">
        <v>175</v>
      </c>
      <c r="C268" s="1150">
        <v>2600</v>
      </c>
      <c r="D268" s="441"/>
      <c r="E268" s="444"/>
      <c r="F268" s="442"/>
      <c r="G268" s="442"/>
      <c r="H268" s="442"/>
      <c r="I268" s="442"/>
      <c r="J268" s="442"/>
      <c r="K268" s="442"/>
      <c r="L268" s="445"/>
    </row>
    <row r="269" spans="1:12" ht="12" x14ac:dyDescent="0.2">
      <c r="A269" s="1039"/>
      <c r="B269" s="1181" t="s">
        <v>367</v>
      </c>
      <c r="C269" s="1182">
        <v>2610</v>
      </c>
      <c r="D269" s="441"/>
      <c r="E269" s="430"/>
      <c r="F269" s="442"/>
      <c r="G269" s="442"/>
      <c r="H269" s="442"/>
      <c r="I269" s="442"/>
      <c r="J269" s="442"/>
      <c r="K269" s="442"/>
      <c r="L269" s="207">
        <f>SUM(D269:K269)</f>
        <v>0</v>
      </c>
    </row>
    <row r="270" spans="1:12" ht="12" x14ac:dyDescent="0.2">
      <c r="A270" s="1039"/>
      <c r="B270" s="1181" t="s">
        <v>410</v>
      </c>
      <c r="C270" s="1182">
        <v>2620</v>
      </c>
      <c r="D270" s="441"/>
      <c r="E270" s="430"/>
      <c r="F270" s="442"/>
      <c r="G270" s="442"/>
      <c r="H270" s="442"/>
      <c r="I270" s="442"/>
      <c r="J270" s="442"/>
      <c r="K270" s="442"/>
      <c r="L270" s="207">
        <f>SUM(D270:K270)</f>
        <v>0</v>
      </c>
    </row>
    <row r="271" spans="1:12" ht="12" x14ac:dyDescent="0.2">
      <c r="A271" s="1039"/>
      <c r="B271" s="1183" t="s">
        <v>443</v>
      </c>
      <c r="C271" s="1640">
        <v>2630</v>
      </c>
      <c r="D271" s="441"/>
      <c r="E271" s="430"/>
      <c r="F271" s="442"/>
      <c r="G271" s="442"/>
      <c r="H271" s="442"/>
      <c r="I271" s="442"/>
      <c r="J271" s="442"/>
      <c r="K271" s="442"/>
      <c r="L271" s="207">
        <f>SUM(D271:K271)</f>
        <v>0</v>
      </c>
    </row>
    <row r="272" spans="1:12" ht="12" x14ac:dyDescent="0.2">
      <c r="A272" s="1039"/>
      <c r="B272" s="1181" t="s">
        <v>460</v>
      </c>
      <c r="C272" s="1182">
        <v>2640</v>
      </c>
      <c r="D272" s="441"/>
      <c r="E272" s="430"/>
      <c r="F272" s="442"/>
      <c r="G272" s="442"/>
      <c r="H272" s="442"/>
      <c r="I272" s="442"/>
      <c r="J272" s="442"/>
      <c r="K272" s="442"/>
      <c r="L272" s="207">
        <f>SUM(D272:K272)</f>
        <v>0</v>
      </c>
    </row>
    <row r="273" spans="1:12" ht="12" x14ac:dyDescent="0.2">
      <c r="A273" s="1039"/>
      <c r="B273" s="1181" t="s">
        <v>461</v>
      </c>
      <c r="C273" s="1182">
        <v>2660</v>
      </c>
      <c r="D273" s="441"/>
      <c r="E273" s="430"/>
      <c r="F273" s="442"/>
      <c r="G273" s="442"/>
      <c r="H273" s="442"/>
      <c r="I273" s="442"/>
      <c r="J273" s="442"/>
      <c r="K273" s="442"/>
      <c r="L273" s="207">
        <f>SUM(D273:K273)</f>
        <v>0</v>
      </c>
    </row>
    <row r="274" spans="1:12" ht="12.75" thickBot="1" x14ac:dyDescent="0.25">
      <c r="A274" s="1039"/>
      <c r="B274" s="1179" t="s">
        <v>505</v>
      </c>
      <c r="C274" s="1180">
        <v>2600</v>
      </c>
      <c r="D274" s="441"/>
      <c r="E274" s="443">
        <f>SUM(E269:E273)</f>
        <v>0</v>
      </c>
      <c r="F274" s="442"/>
      <c r="G274" s="442"/>
      <c r="H274" s="442"/>
      <c r="I274" s="442"/>
      <c r="J274" s="442"/>
      <c r="K274" s="442"/>
      <c r="L274" s="443">
        <f>SUM(L269:L273)</f>
        <v>0</v>
      </c>
    </row>
    <row r="275" spans="1:12" s="1105" customFormat="1" ht="15.75" customHeight="1" thickTop="1" x14ac:dyDescent="0.2">
      <c r="A275" s="1039" t="s">
        <v>876</v>
      </c>
      <c r="B275" s="1178" t="s">
        <v>897</v>
      </c>
      <c r="C275" s="1150">
        <v>2900</v>
      </c>
      <c r="D275" s="441"/>
      <c r="E275" s="446"/>
      <c r="F275" s="442"/>
      <c r="G275" s="442"/>
      <c r="H275" s="442"/>
      <c r="I275" s="442"/>
      <c r="J275" s="442"/>
      <c r="K275" s="442"/>
      <c r="L275" s="314">
        <f>SUM(D275:K275)</f>
        <v>0</v>
      </c>
    </row>
    <row r="276" spans="1:12" ht="12" customHeight="1" thickBot="1" x14ac:dyDescent="0.25">
      <c r="A276" s="1039"/>
      <c r="B276" s="1177" t="s">
        <v>506</v>
      </c>
      <c r="C276" s="1063">
        <v>2000</v>
      </c>
      <c r="D276" s="441"/>
      <c r="E276" s="447">
        <f>SUM(E242,E247,E254,E258,E267,E274,E275)</f>
        <v>0</v>
      </c>
      <c r="F276" s="442"/>
      <c r="G276" s="442"/>
      <c r="H276" s="442"/>
      <c r="I276" s="442"/>
      <c r="J276" s="442"/>
      <c r="K276" s="442"/>
      <c r="L276" s="447">
        <f>SUM(L242,L247,L254,L258,L267,L274,L275)</f>
        <v>0</v>
      </c>
    </row>
    <row r="277" spans="1:12" s="1105" customFormat="1" ht="15.75" customHeight="1" thickTop="1" x14ac:dyDescent="0.2">
      <c r="A277" s="1039"/>
      <c r="B277" s="1156" t="s">
        <v>180</v>
      </c>
      <c r="C277" s="1176">
        <v>3000</v>
      </c>
      <c r="D277" s="1164"/>
      <c r="E277" s="448"/>
      <c r="F277" s="449"/>
      <c r="G277" s="449"/>
      <c r="H277" s="442"/>
      <c r="I277" s="449"/>
      <c r="J277" s="442"/>
      <c r="K277" s="449"/>
      <c r="L277" s="450">
        <f>SUM(D277:K277)</f>
        <v>0</v>
      </c>
    </row>
    <row r="278" spans="1:12" s="1105" customFormat="1" ht="15.75" customHeight="1" x14ac:dyDescent="0.2">
      <c r="A278" s="1039"/>
      <c r="B278" s="1173" t="s">
        <v>617</v>
      </c>
      <c r="C278" s="1174">
        <v>4000</v>
      </c>
      <c r="D278" s="1175"/>
      <c r="E278" s="451"/>
      <c r="F278" s="451"/>
      <c r="G278" s="451"/>
      <c r="H278" s="451"/>
      <c r="I278" s="451"/>
      <c r="J278" s="451"/>
      <c r="K278" s="451"/>
      <c r="L278" s="452"/>
    </row>
    <row r="279" spans="1:12" ht="12" x14ac:dyDescent="0.2">
      <c r="A279" s="1039"/>
      <c r="B279" s="1170" t="s">
        <v>517</v>
      </c>
      <c r="C279" s="1171">
        <v>4110</v>
      </c>
      <c r="D279" s="1164"/>
      <c r="E279" s="453"/>
      <c r="F279" s="449"/>
      <c r="G279" s="449"/>
      <c r="H279" s="449"/>
      <c r="I279" s="449"/>
      <c r="J279" s="449"/>
      <c r="K279" s="449"/>
      <c r="L279" s="454">
        <f>E279</f>
        <v>0</v>
      </c>
    </row>
    <row r="280" spans="1:12" ht="12" x14ac:dyDescent="0.2">
      <c r="A280" s="1039"/>
      <c r="B280" s="1172" t="s">
        <v>226</v>
      </c>
      <c r="C280" s="1160">
        <v>4120</v>
      </c>
      <c r="D280" s="1164"/>
      <c r="E280" s="455"/>
      <c r="F280" s="449"/>
      <c r="G280" s="449"/>
      <c r="H280" s="442"/>
      <c r="I280" s="449"/>
      <c r="J280" s="442"/>
      <c r="K280" s="449"/>
      <c r="L280" s="207">
        <f>E280</f>
        <v>0</v>
      </c>
    </row>
    <row r="281" spans="1:12" ht="12" x14ac:dyDescent="0.2">
      <c r="A281" s="1039"/>
      <c r="B281" s="1172" t="s">
        <v>196</v>
      </c>
      <c r="C281" s="1160">
        <v>4140</v>
      </c>
      <c r="D281" s="1164"/>
      <c r="E281" s="455"/>
      <c r="F281" s="449"/>
      <c r="G281" s="449"/>
      <c r="H281" s="442"/>
      <c r="I281" s="449"/>
      <c r="J281" s="442"/>
      <c r="K281" s="449"/>
      <c r="L281" s="207">
        <f>E281</f>
        <v>0</v>
      </c>
    </row>
    <row r="282" spans="1:12" ht="12.75" thickBot="1" x14ac:dyDescent="0.25">
      <c r="A282" s="1039"/>
      <c r="B282" s="1163" t="s">
        <v>611</v>
      </c>
      <c r="C282" s="1641">
        <v>4000</v>
      </c>
      <c r="D282" s="1164"/>
      <c r="E282" s="456">
        <f>SUM(E279:E281)</f>
        <v>0</v>
      </c>
      <c r="F282" s="449"/>
      <c r="G282" s="449"/>
      <c r="H282" s="449"/>
      <c r="I282" s="449"/>
      <c r="J282" s="449"/>
      <c r="K282" s="449"/>
      <c r="L282" s="456">
        <f>SUM(L279:L281)</f>
        <v>0</v>
      </c>
    </row>
    <row r="283" spans="1:12" s="1105" customFormat="1" ht="15.75" customHeight="1" thickTop="1" x14ac:dyDescent="0.2">
      <c r="A283" s="1039"/>
      <c r="B283" s="1156" t="s">
        <v>41</v>
      </c>
      <c r="C283" s="1165">
        <v>5000</v>
      </c>
      <c r="D283" s="1166"/>
      <c r="E283" s="1167"/>
      <c r="F283" s="451"/>
      <c r="G283" s="451"/>
      <c r="H283" s="451"/>
      <c r="I283" s="451"/>
      <c r="J283" s="451"/>
      <c r="K283" s="451"/>
      <c r="L283" s="457"/>
    </row>
    <row r="284" spans="1:12" s="1105" customFormat="1" ht="15.75" customHeight="1" x14ac:dyDescent="0.2">
      <c r="A284" s="1039"/>
      <c r="B284" s="1168" t="s">
        <v>198</v>
      </c>
      <c r="C284" s="1169">
        <v>5100</v>
      </c>
      <c r="D284" s="449"/>
      <c r="E284" s="459"/>
      <c r="F284" s="449"/>
      <c r="G284" s="449"/>
      <c r="H284" s="449"/>
      <c r="I284" s="449"/>
      <c r="J284" s="449"/>
      <c r="K284" s="449"/>
      <c r="L284" s="458"/>
    </row>
    <row r="285" spans="1:12" ht="12" x14ac:dyDescent="0.2">
      <c r="A285" s="1039"/>
      <c r="B285" s="1159" t="s">
        <v>295</v>
      </c>
      <c r="C285" s="1160">
        <v>5110</v>
      </c>
      <c r="D285" s="449"/>
      <c r="E285" s="459"/>
      <c r="F285" s="449"/>
      <c r="G285" s="449"/>
      <c r="H285" s="449"/>
      <c r="I285" s="455"/>
      <c r="J285" s="449"/>
      <c r="K285" s="459"/>
      <c r="L285" s="207">
        <f>SUM(D285:K285)</f>
        <v>0</v>
      </c>
    </row>
    <row r="286" spans="1:12" ht="12" x14ac:dyDescent="0.2">
      <c r="A286" s="1039"/>
      <c r="B286" s="1159" t="s">
        <v>396</v>
      </c>
      <c r="C286" s="1161">
        <v>5120</v>
      </c>
      <c r="D286" s="449"/>
      <c r="E286" s="459"/>
      <c r="F286" s="449"/>
      <c r="G286" s="449"/>
      <c r="H286" s="449"/>
      <c r="I286" s="455"/>
      <c r="J286" s="449"/>
      <c r="K286" s="459"/>
      <c r="L286" s="207">
        <f>SUM(D286:K286)</f>
        <v>0</v>
      </c>
    </row>
    <row r="287" spans="1:12" ht="12" x14ac:dyDescent="0.2">
      <c r="A287" s="1039"/>
      <c r="B287" s="1162" t="s">
        <v>123</v>
      </c>
      <c r="C287" s="1160">
        <v>5130</v>
      </c>
      <c r="D287" s="449"/>
      <c r="E287" s="459"/>
      <c r="F287" s="449"/>
      <c r="G287" s="449"/>
      <c r="H287" s="449"/>
      <c r="I287" s="455"/>
      <c r="J287" s="449"/>
      <c r="K287" s="459"/>
      <c r="L287" s="207">
        <f>SUM(D287:K287)</f>
        <v>0</v>
      </c>
    </row>
    <row r="288" spans="1:12" ht="12" x14ac:dyDescent="0.2">
      <c r="A288" s="1039"/>
      <c r="B288" s="1159" t="s">
        <v>414</v>
      </c>
      <c r="C288" s="1160">
        <v>5140</v>
      </c>
      <c r="D288" s="449"/>
      <c r="E288" s="459"/>
      <c r="F288" s="449"/>
      <c r="G288" s="449"/>
      <c r="H288" s="449"/>
      <c r="I288" s="455"/>
      <c r="J288" s="449"/>
      <c r="K288" s="459"/>
      <c r="L288" s="207">
        <f>SUM(D288:K288)</f>
        <v>0</v>
      </c>
    </row>
    <row r="289" spans="1:12" ht="12" x14ac:dyDescent="0.2">
      <c r="A289" s="1039" t="s">
        <v>877</v>
      </c>
      <c r="B289" s="1159" t="s">
        <v>697</v>
      </c>
      <c r="C289" s="1160">
        <v>5150</v>
      </c>
      <c r="D289" s="449"/>
      <c r="E289" s="459"/>
      <c r="F289" s="449"/>
      <c r="G289" s="449"/>
      <c r="H289" s="449"/>
      <c r="I289" s="455"/>
      <c r="J289" s="449"/>
      <c r="K289" s="459"/>
      <c r="L289" s="207">
        <f>SUM(D289:K289)</f>
        <v>0</v>
      </c>
    </row>
    <row r="290" spans="1:12" ht="12" customHeight="1" thickBot="1" x14ac:dyDescent="0.25">
      <c r="A290" s="1039"/>
      <c r="B290" s="1158" t="s">
        <v>176</v>
      </c>
      <c r="C290" s="1641">
        <v>5000</v>
      </c>
      <c r="D290" s="449"/>
      <c r="E290" s="459"/>
      <c r="F290" s="449"/>
      <c r="G290" s="449"/>
      <c r="H290" s="449"/>
      <c r="I290" s="456">
        <f>SUM(I285:I289)</f>
        <v>0</v>
      </c>
      <c r="J290" s="449"/>
      <c r="K290" s="459"/>
      <c r="L290" s="456">
        <f>SUM(L285:L289)</f>
        <v>0</v>
      </c>
    </row>
    <row r="291" spans="1:12" s="1105" customFormat="1" ht="15.75" customHeight="1" thickTop="1" x14ac:dyDescent="0.2">
      <c r="A291" s="1039"/>
      <c r="B291" s="1156" t="s">
        <v>181</v>
      </c>
      <c r="C291" s="1157">
        <v>6000</v>
      </c>
      <c r="D291" s="449"/>
      <c r="E291" s="459"/>
      <c r="F291" s="449"/>
      <c r="G291" s="449"/>
      <c r="H291" s="449"/>
      <c r="I291" s="455"/>
      <c r="J291" s="449"/>
      <c r="K291" s="459"/>
      <c r="L291" s="207">
        <f>SUM(D291:K291)</f>
        <v>0</v>
      </c>
    </row>
    <row r="292" spans="1:12" ht="12" customHeight="1" thickBot="1" x14ac:dyDescent="0.25">
      <c r="A292" s="1039"/>
      <c r="B292" s="1738" t="s">
        <v>439</v>
      </c>
      <c r="C292" s="1739"/>
      <c r="D292" s="449"/>
      <c r="E292" s="456">
        <f>SUM(E233,E276,E277,E282)</f>
        <v>3400000</v>
      </c>
      <c r="F292" s="449"/>
      <c r="G292" s="449"/>
      <c r="H292" s="449"/>
      <c r="I292" s="456">
        <f>SUM(I290,I291)</f>
        <v>0</v>
      </c>
      <c r="J292" s="449"/>
      <c r="K292" s="459"/>
      <c r="L292" s="456">
        <f>SUM(L233,L276,L277,L282,L290,L291)</f>
        <v>3400000</v>
      </c>
    </row>
    <row r="293" spans="1:12" ht="13.5" thickTop="1" thickBot="1" x14ac:dyDescent="0.25">
      <c r="A293" s="1039"/>
      <c r="B293" s="1744" t="s">
        <v>67</v>
      </c>
      <c r="C293" s="1745"/>
      <c r="D293" s="460"/>
      <c r="E293" s="460"/>
      <c r="F293" s="460"/>
      <c r="G293" s="460"/>
      <c r="H293" s="460"/>
      <c r="I293" s="460"/>
      <c r="J293" s="460"/>
      <c r="K293" s="461"/>
      <c r="L293" s="462">
        <f>'EstRev 6-11'!H270-'EstExp 12-20'!L292</f>
        <v>0</v>
      </c>
    </row>
    <row r="294" spans="1:12" ht="6" customHeight="1" thickTop="1" x14ac:dyDescent="0.2">
      <c r="A294" s="1039"/>
      <c r="B294" s="1151"/>
      <c r="C294" s="1630"/>
      <c r="D294" s="463"/>
      <c r="E294" s="463"/>
      <c r="F294" s="463"/>
      <c r="G294" s="463"/>
      <c r="H294" s="463"/>
      <c r="I294" s="463"/>
      <c r="J294" s="463"/>
      <c r="K294" s="463"/>
      <c r="L294" s="463"/>
    </row>
    <row r="295" spans="1:12" s="1105" customFormat="1" ht="16.7" customHeight="1" x14ac:dyDescent="0.2">
      <c r="A295" s="1039"/>
      <c r="B295" s="1152" t="s">
        <v>50</v>
      </c>
      <c r="C295" s="1642"/>
      <c r="D295" s="464"/>
      <c r="E295" s="465"/>
      <c r="F295" s="465"/>
      <c r="G295" s="465"/>
      <c r="H295" s="465"/>
      <c r="I295" s="465"/>
      <c r="J295" s="465"/>
      <c r="K295" s="465"/>
      <c r="L295" s="466"/>
    </row>
    <row r="296" spans="1:12" s="1105" customFormat="1" ht="15.75" customHeight="1" x14ac:dyDescent="0.2">
      <c r="A296" s="1039"/>
      <c r="B296" s="1136" t="s">
        <v>51</v>
      </c>
      <c r="C296" s="1153" t="s">
        <v>100</v>
      </c>
      <c r="D296" s="467"/>
      <c r="E296" s="468"/>
      <c r="F296" s="468"/>
      <c r="G296" s="468"/>
      <c r="H296" s="468"/>
      <c r="I296" s="468"/>
      <c r="J296" s="468"/>
      <c r="K296" s="468"/>
      <c r="L296" s="469"/>
    </row>
    <row r="297" spans="1:12" s="1105" customFormat="1" ht="15.75" customHeight="1" x14ac:dyDescent="0.2">
      <c r="A297" s="1039"/>
      <c r="B297" s="1154" t="s">
        <v>223</v>
      </c>
      <c r="C297" s="1155"/>
      <c r="D297" s="470"/>
      <c r="E297" s="471"/>
      <c r="F297" s="471"/>
      <c r="G297" s="471"/>
      <c r="H297" s="470"/>
      <c r="I297" s="472"/>
      <c r="J297" s="470"/>
      <c r="K297" s="470"/>
      <c r="L297" s="470"/>
    </row>
    <row r="298" spans="1:12" ht="12" customHeight="1" x14ac:dyDescent="0.2">
      <c r="A298" s="1039"/>
      <c r="B298" s="1143" t="s">
        <v>225</v>
      </c>
      <c r="C298" s="1144">
        <v>2530</v>
      </c>
      <c r="D298" s="455"/>
      <c r="E298" s="455"/>
      <c r="F298" s="455"/>
      <c r="G298" s="455"/>
      <c r="H298" s="455">
        <v>3880000</v>
      </c>
      <c r="I298" s="455"/>
      <c r="J298" s="455"/>
      <c r="K298" s="470"/>
      <c r="L298" s="207">
        <f>SUM(D298:K298)</f>
        <v>3880000</v>
      </c>
    </row>
    <row r="299" spans="1:12" ht="12" customHeight="1" x14ac:dyDescent="0.2">
      <c r="A299" s="1039" t="s">
        <v>878</v>
      </c>
      <c r="B299" s="1143" t="s">
        <v>896</v>
      </c>
      <c r="C299" s="1144">
        <v>2900</v>
      </c>
      <c r="D299" s="455"/>
      <c r="E299" s="455"/>
      <c r="F299" s="455"/>
      <c r="G299" s="455"/>
      <c r="H299" s="455"/>
      <c r="I299" s="455"/>
      <c r="J299" s="455"/>
      <c r="K299" s="470"/>
      <c r="L299" s="289">
        <f>SUM(D299:K299)</f>
        <v>0</v>
      </c>
    </row>
    <row r="300" spans="1:12" ht="12" customHeight="1" thickBot="1" x14ac:dyDescent="0.25">
      <c r="A300" s="1039"/>
      <c r="B300" s="1145" t="s">
        <v>506</v>
      </c>
      <c r="C300" s="1146">
        <v>2000</v>
      </c>
      <c r="D300" s="473">
        <f>SUM(D298:D299)</f>
        <v>0</v>
      </c>
      <c r="E300" s="473">
        <f t="shared" ref="E300:L300" si="30">SUM(E298:E299)</f>
        <v>0</v>
      </c>
      <c r="F300" s="473">
        <f t="shared" si="30"/>
        <v>0</v>
      </c>
      <c r="G300" s="473">
        <f t="shared" si="30"/>
        <v>0</v>
      </c>
      <c r="H300" s="473">
        <f t="shared" si="30"/>
        <v>3880000</v>
      </c>
      <c r="I300" s="473">
        <f t="shared" si="30"/>
        <v>0</v>
      </c>
      <c r="J300" s="473">
        <f t="shared" si="30"/>
        <v>0</v>
      </c>
      <c r="K300" s="470"/>
      <c r="L300" s="473">
        <f t="shared" si="30"/>
        <v>3880000</v>
      </c>
    </row>
    <row r="301" spans="1:12" s="1105" customFormat="1" ht="15.75" customHeight="1" thickTop="1" x14ac:dyDescent="0.2">
      <c r="A301" s="1039"/>
      <c r="B301" s="1147" t="s">
        <v>618</v>
      </c>
      <c r="C301" s="1148">
        <v>4000</v>
      </c>
      <c r="D301" s="474"/>
      <c r="E301" s="475"/>
      <c r="F301" s="475"/>
      <c r="G301" s="475"/>
      <c r="H301" s="475"/>
      <c r="I301" s="475"/>
      <c r="J301" s="475"/>
      <c r="K301" s="468"/>
      <c r="L301" s="476"/>
    </row>
    <row r="302" spans="1:12" ht="12.75" customHeight="1" x14ac:dyDescent="0.2">
      <c r="A302" s="1039"/>
      <c r="B302" s="1149" t="s">
        <v>608</v>
      </c>
      <c r="C302" s="1150">
        <v>4100</v>
      </c>
      <c r="D302" s="402"/>
      <c r="E302" s="402"/>
      <c r="F302" s="402"/>
      <c r="G302" s="402"/>
      <c r="H302" s="402"/>
      <c r="I302" s="409"/>
      <c r="J302" s="402"/>
      <c r="K302" s="410"/>
      <c r="L302" s="402"/>
    </row>
    <row r="303" spans="1:12" ht="12" x14ac:dyDescent="0.2">
      <c r="A303" s="1039"/>
      <c r="B303" s="1141" t="s">
        <v>640</v>
      </c>
      <c r="C303" s="1142">
        <v>4110</v>
      </c>
      <c r="D303" s="470"/>
      <c r="E303" s="470"/>
      <c r="F303" s="455"/>
      <c r="G303" s="470"/>
      <c r="H303" s="470"/>
      <c r="I303" s="455"/>
      <c r="J303" s="470"/>
      <c r="K303" s="477"/>
      <c r="L303" s="478">
        <f>SUM(F303,I303)</f>
        <v>0</v>
      </c>
    </row>
    <row r="304" spans="1:12" ht="12" x14ac:dyDescent="0.2">
      <c r="A304" s="1039"/>
      <c r="B304" s="1143" t="s">
        <v>68</v>
      </c>
      <c r="C304" s="1144">
        <v>4120</v>
      </c>
      <c r="D304" s="470"/>
      <c r="E304" s="470"/>
      <c r="F304" s="455"/>
      <c r="G304" s="470"/>
      <c r="H304" s="470"/>
      <c r="I304" s="455"/>
      <c r="J304" s="470"/>
      <c r="K304" s="477"/>
      <c r="L304" s="479">
        <f>SUM(D304:K304)</f>
        <v>0</v>
      </c>
    </row>
    <row r="305" spans="1:13" ht="12" x14ac:dyDescent="0.2">
      <c r="A305" s="1039"/>
      <c r="B305" s="1143" t="s">
        <v>52</v>
      </c>
      <c r="C305" s="1144">
        <v>4140</v>
      </c>
      <c r="D305" s="470"/>
      <c r="E305" s="470"/>
      <c r="F305" s="455"/>
      <c r="G305" s="470"/>
      <c r="H305" s="470"/>
      <c r="I305" s="455"/>
      <c r="J305" s="470"/>
      <c r="K305" s="477"/>
      <c r="L305" s="479">
        <f>SUM(D305:K305)</f>
        <v>0</v>
      </c>
    </row>
    <row r="306" spans="1:13" ht="12.75" thickBot="1" x14ac:dyDescent="0.25">
      <c r="A306" s="1039" t="s">
        <v>879</v>
      </c>
      <c r="B306" s="1143" t="s">
        <v>898</v>
      </c>
      <c r="C306" s="1144">
        <v>4190</v>
      </c>
      <c r="D306" s="470"/>
      <c r="E306" s="470"/>
      <c r="F306" s="455"/>
      <c r="G306" s="470"/>
      <c r="H306" s="470"/>
      <c r="I306" s="455"/>
      <c r="J306" s="470"/>
      <c r="K306" s="477"/>
      <c r="L306" s="479">
        <f>SUM(D306:K306)</f>
        <v>0</v>
      </c>
    </row>
    <row r="307" spans="1:13" ht="12" customHeight="1" thickTop="1" thickBot="1" x14ac:dyDescent="0.3">
      <c r="A307" s="1039"/>
      <c r="B307" s="1138" t="s">
        <v>124</v>
      </c>
      <c r="C307" s="1139">
        <v>4000</v>
      </c>
      <c r="D307" s="470"/>
      <c r="E307" s="480"/>
      <c r="F307" s="473">
        <f>SUM(F303:F306)</f>
        <v>0</v>
      </c>
      <c r="G307" s="470"/>
      <c r="H307" s="480"/>
      <c r="I307" s="473">
        <f>SUM(I303:I306)</f>
        <v>0</v>
      </c>
      <c r="J307" s="470"/>
      <c r="K307" s="477"/>
      <c r="L307" s="473">
        <f>SUM(L303:L306)</f>
        <v>0</v>
      </c>
      <c r="M307" s="1140"/>
    </row>
    <row r="308" spans="1:13" s="1105" customFormat="1" ht="15.75" customHeight="1" thickTop="1" thickBot="1" x14ac:dyDescent="0.25">
      <c r="A308" s="1039"/>
      <c r="B308" s="1136" t="s">
        <v>53</v>
      </c>
      <c r="C308" s="1137">
        <v>6000</v>
      </c>
      <c r="D308" s="471"/>
      <c r="E308" s="471"/>
      <c r="F308" s="471"/>
      <c r="G308" s="471"/>
      <c r="H308" s="470"/>
      <c r="I308" s="481"/>
      <c r="J308" s="471"/>
      <c r="K308" s="477"/>
      <c r="L308" s="207">
        <f>SUM(D308:K308)</f>
        <v>0</v>
      </c>
    </row>
    <row r="309" spans="1:13" ht="12" customHeight="1" thickTop="1" thickBot="1" x14ac:dyDescent="0.25">
      <c r="A309" s="1039"/>
      <c r="B309" s="1128" t="s">
        <v>439</v>
      </c>
      <c r="C309" s="1618"/>
      <c r="D309" s="482">
        <f>(D300)</f>
        <v>0</v>
      </c>
      <c r="E309" s="482">
        <f>(E300)</f>
        <v>0</v>
      </c>
      <c r="F309" s="482">
        <f>SUM(F300,F307)</f>
        <v>0</v>
      </c>
      <c r="G309" s="482">
        <f>SUM(G300)</f>
        <v>0</v>
      </c>
      <c r="H309" s="483">
        <f>H300</f>
        <v>3880000</v>
      </c>
      <c r="I309" s="482">
        <f>SUM(I300,I307,I308)</f>
        <v>0</v>
      </c>
      <c r="J309" s="482">
        <f>SUM(J300)</f>
        <v>0</v>
      </c>
      <c r="K309" s="470"/>
      <c r="L309" s="482">
        <f>SUM(L300,L307,L308)</f>
        <v>3880000</v>
      </c>
    </row>
    <row r="310" spans="1:13" ht="14.25" thickTop="1" thickBot="1" x14ac:dyDescent="0.25">
      <c r="A310" s="1039"/>
      <c r="B310" s="1129" t="s">
        <v>67</v>
      </c>
      <c r="C310" s="1643"/>
      <c r="D310" s="471"/>
      <c r="E310" s="471"/>
      <c r="F310" s="471"/>
      <c r="G310" s="471"/>
      <c r="H310" s="471"/>
      <c r="I310" s="471"/>
      <c r="J310" s="471"/>
      <c r="K310" s="1130"/>
      <c r="L310" s="484">
        <f>'EstRev 6-11'!I270-'EstExp 12-20'!L309</f>
        <v>-1100000</v>
      </c>
    </row>
    <row r="311" spans="1:13" ht="5.25" customHeight="1" thickTop="1" x14ac:dyDescent="0.2">
      <c r="A311" s="1039"/>
      <c r="B311" s="1131"/>
      <c r="C311" s="1630"/>
      <c r="D311" s="485"/>
      <c r="E311" s="485"/>
      <c r="F311" s="485"/>
      <c r="G311" s="485"/>
      <c r="H311" s="485"/>
      <c r="I311" s="485"/>
      <c r="J311" s="485"/>
      <c r="K311" s="485"/>
      <c r="L311" s="485"/>
    </row>
    <row r="312" spans="1:13" s="1105" customFormat="1" ht="16.7" customHeight="1" x14ac:dyDescent="0.2">
      <c r="A312" s="1039"/>
      <c r="B312" s="1132" t="s">
        <v>382</v>
      </c>
      <c r="C312" s="1644"/>
      <c r="D312" s="486"/>
      <c r="E312" s="465"/>
      <c r="F312" s="465"/>
      <c r="G312" s="465"/>
      <c r="H312" s="465"/>
      <c r="I312" s="465"/>
      <c r="J312" s="465"/>
      <c r="K312" s="465"/>
      <c r="L312" s="466"/>
    </row>
    <row r="313" spans="1:13" ht="4.5" customHeight="1" x14ac:dyDescent="0.2">
      <c r="A313" s="1039"/>
      <c r="B313" s="1131"/>
      <c r="C313" s="1630"/>
      <c r="D313" s="485"/>
      <c r="E313" s="485"/>
      <c r="F313" s="485"/>
      <c r="G313" s="485"/>
      <c r="H313" s="485"/>
      <c r="I313" s="485"/>
      <c r="J313" s="485"/>
      <c r="K313" s="485"/>
      <c r="L313" s="485"/>
    </row>
    <row r="314" spans="1:13" s="1105" customFormat="1" ht="16.7" customHeight="1" x14ac:dyDescent="0.2">
      <c r="A314" s="1039"/>
      <c r="B314" s="1133" t="s">
        <v>54</v>
      </c>
      <c r="C314" s="1645"/>
      <c r="D314" s="464"/>
      <c r="E314" s="465"/>
      <c r="F314" s="465"/>
      <c r="G314" s="465"/>
      <c r="H314" s="465"/>
      <c r="I314" s="465"/>
      <c r="J314" s="465"/>
      <c r="K314" s="465"/>
      <c r="L314" s="466"/>
    </row>
    <row r="315" spans="1:13" s="1105" customFormat="1" ht="16.7" customHeight="1" x14ac:dyDescent="0.2">
      <c r="A315" s="1039"/>
      <c r="B315" s="1134" t="s">
        <v>784</v>
      </c>
      <c r="C315" s="1135" t="s">
        <v>240</v>
      </c>
      <c r="D315" s="285"/>
      <c r="E315" s="286"/>
      <c r="F315" s="286"/>
      <c r="G315" s="286"/>
      <c r="H315" s="286"/>
      <c r="I315" s="286"/>
      <c r="J315" s="286"/>
      <c r="K315" s="286"/>
      <c r="L315" s="287"/>
    </row>
    <row r="316" spans="1:13" s="1105" customFormat="1" ht="15.75" customHeight="1" x14ac:dyDescent="0.2">
      <c r="A316" s="1039"/>
      <c r="B316" s="1126" t="s">
        <v>250</v>
      </c>
      <c r="C316" s="1127">
        <v>1100</v>
      </c>
      <c r="D316" s="455"/>
      <c r="E316" s="455"/>
      <c r="F316" s="455"/>
      <c r="G316" s="455"/>
      <c r="H316" s="455"/>
      <c r="I316" s="455"/>
      <c r="J316" s="455"/>
      <c r="K316" s="455"/>
      <c r="L316" s="289">
        <f>SUM(D316:K316)</f>
        <v>0</v>
      </c>
    </row>
    <row r="317" spans="1:13" ht="12" x14ac:dyDescent="0.2">
      <c r="A317" s="1039"/>
      <c r="B317" s="1122" t="s">
        <v>587</v>
      </c>
      <c r="C317" s="1110">
        <v>1115</v>
      </c>
      <c r="D317" s="290"/>
      <c r="E317" s="291"/>
      <c r="F317" s="292"/>
      <c r="G317" s="291"/>
      <c r="H317" s="291"/>
      <c r="I317" s="291"/>
      <c r="J317" s="291"/>
      <c r="K317" s="291"/>
      <c r="L317" s="207">
        <f>SUM(D317,F317)</f>
        <v>0</v>
      </c>
    </row>
    <row r="318" spans="1:13" ht="12" x14ac:dyDescent="0.2">
      <c r="A318" s="1039"/>
      <c r="B318" s="1122" t="s">
        <v>279</v>
      </c>
      <c r="C318" s="1110">
        <v>1125</v>
      </c>
      <c r="D318" s="455"/>
      <c r="E318" s="455"/>
      <c r="F318" s="455"/>
      <c r="G318" s="455"/>
      <c r="H318" s="455"/>
      <c r="I318" s="455"/>
      <c r="J318" s="455"/>
      <c r="K318" s="455"/>
      <c r="L318" s="207">
        <f t="shared" ref="L318:L344" si="31">SUM(D318:K318)</f>
        <v>0</v>
      </c>
    </row>
    <row r="319" spans="1:13" ht="12" x14ac:dyDescent="0.2">
      <c r="A319" s="1039"/>
      <c r="B319" s="1122" t="s">
        <v>323</v>
      </c>
      <c r="C319" s="1110">
        <v>1200</v>
      </c>
      <c r="D319" s="455"/>
      <c r="E319" s="455"/>
      <c r="F319" s="455"/>
      <c r="G319" s="455"/>
      <c r="H319" s="455"/>
      <c r="I319" s="455"/>
      <c r="J319" s="455"/>
      <c r="K319" s="455"/>
      <c r="L319" s="207">
        <f t="shared" si="31"/>
        <v>0</v>
      </c>
    </row>
    <row r="320" spans="1:13" ht="12" x14ac:dyDescent="0.2">
      <c r="A320" s="1039"/>
      <c r="B320" s="1122" t="s">
        <v>280</v>
      </c>
      <c r="C320" s="1110">
        <v>1225</v>
      </c>
      <c r="D320" s="455"/>
      <c r="E320" s="455"/>
      <c r="F320" s="455"/>
      <c r="G320" s="455"/>
      <c r="H320" s="455"/>
      <c r="I320" s="455"/>
      <c r="J320" s="455"/>
      <c r="K320" s="455"/>
      <c r="L320" s="207">
        <f t="shared" si="31"/>
        <v>0</v>
      </c>
    </row>
    <row r="321" spans="1:12" ht="12" x14ac:dyDescent="0.2">
      <c r="A321" s="1039"/>
      <c r="B321" s="1122" t="s">
        <v>115</v>
      </c>
      <c r="C321" s="1110">
        <v>1250</v>
      </c>
      <c r="D321" s="455"/>
      <c r="E321" s="455"/>
      <c r="F321" s="455"/>
      <c r="G321" s="455"/>
      <c r="H321" s="455"/>
      <c r="I321" s="455"/>
      <c r="J321" s="455"/>
      <c r="K321" s="455"/>
      <c r="L321" s="207">
        <f t="shared" si="31"/>
        <v>0</v>
      </c>
    </row>
    <row r="322" spans="1:12" ht="12" x14ac:dyDescent="0.2">
      <c r="A322" s="1039"/>
      <c r="B322" s="1122" t="s">
        <v>381</v>
      </c>
      <c r="C322" s="1110">
        <v>1275</v>
      </c>
      <c r="D322" s="455"/>
      <c r="E322" s="455"/>
      <c r="F322" s="455"/>
      <c r="G322" s="455"/>
      <c r="H322" s="455"/>
      <c r="I322" s="455"/>
      <c r="J322" s="455"/>
      <c r="K322" s="455"/>
      <c r="L322" s="207">
        <f t="shared" si="31"/>
        <v>0</v>
      </c>
    </row>
    <row r="323" spans="1:12" ht="12" x14ac:dyDescent="0.2">
      <c r="A323" s="1039"/>
      <c r="B323" s="1122" t="s">
        <v>261</v>
      </c>
      <c r="C323" s="1110">
        <v>1300</v>
      </c>
      <c r="D323" s="455"/>
      <c r="E323" s="455"/>
      <c r="F323" s="455"/>
      <c r="G323" s="455"/>
      <c r="H323" s="455"/>
      <c r="I323" s="455"/>
      <c r="J323" s="455"/>
      <c r="K323" s="455"/>
      <c r="L323" s="207">
        <f t="shared" si="31"/>
        <v>0</v>
      </c>
    </row>
    <row r="324" spans="1:12" ht="12" x14ac:dyDescent="0.2">
      <c r="A324" s="1039"/>
      <c r="B324" s="1122" t="s">
        <v>281</v>
      </c>
      <c r="C324" s="1110">
        <v>1400</v>
      </c>
      <c r="D324" s="455"/>
      <c r="E324" s="455"/>
      <c r="F324" s="455"/>
      <c r="G324" s="455"/>
      <c r="H324" s="455"/>
      <c r="I324" s="455"/>
      <c r="J324" s="455"/>
      <c r="K324" s="455"/>
      <c r="L324" s="207">
        <f t="shared" si="31"/>
        <v>0</v>
      </c>
    </row>
    <row r="325" spans="1:12" ht="12" x14ac:dyDescent="0.2">
      <c r="A325" s="1039"/>
      <c r="B325" s="1122" t="s">
        <v>262</v>
      </c>
      <c r="C325" s="1110">
        <v>1500</v>
      </c>
      <c r="D325" s="455"/>
      <c r="E325" s="455"/>
      <c r="F325" s="455"/>
      <c r="G325" s="455"/>
      <c r="H325" s="455"/>
      <c r="I325" s="455"/>
      <c r="J325" s="455"/>
      <c r="K325" s="455"/>
      <c r="L325" s="207">
        <f t="shared" si="31"/>
        <v>0</v>
      </c>
    </row>
    <row r="326" spans="1:12" ht="12" x14ac:dyDescent="0.2">
      <c r="A326" s="1039"/>
      <c r="B326" s="1122" t="s">
        <v>263</v>
      </c>
      <c r="C326" s="1110">
        <v>1600</v>
      </c>
      <c r="D326" s="455"/>
      <c r="E326" s="455"/>
      <c r="F326" s="455"/>
      <c r="G326" s="455"/>
      <c r="H326" s="455"/>
      <c r="I326" s="455"/>
      <c r="J326" s="455"/>
      <c r="K326" s="455"/>
      <c r="L326" s="207">
        <f t="shared" si="31"/>
        <v>0</v>
      </c>
    </row>
    <row r="327" spans="1:12" ht="12" x14ac:dyDescent="0.2">
      <c r="A327" s="1039"/>
      <c r="B327" s="1122" t="s">
        <v>113</v>
      </c>
      <c r="C327" s="1110">
        <v>1650</v>
      </c>
      <c r="D327" s="455"/>
      <c r="E327" s="455"/>
      <c r="F327" s="455"/>
      <c r="G327" s="455"/>
      <c r="H327" s="455"/>
      <c r="I327" s="455"/>
      <c r="J327" s="455"/>
      <c r="K327" s="455"/>
      <c r="L327" s="207">
        <f t="shared" si="31"/>
        <v>0</v>
      </c>
    </row>
    <row r="328" spans="1:12" ht="12" customHeight="1" x14ac:dyDescent="0.2">
      <c r="A328" s="1039"/>
      <c r="B328" s="1122" t="s">
        <v>282</v>
      </c>
      <c r="C328" s="1110">
        <v>1700</v>
      </c>
      <c r="D328" s="455"/>
      <c r="E328" s="455"/>
      <c r="F328" s="455"/>
      <c r="G328" s="455"/>
      <c r="H328" s="455"/>
      <c r="I328" s="455"/>
      <c r="J328" s="455"/>
      <c r="K328" s="455"/>
      <c r="L328" s="207">
        <f t="shared" si="31"/>
        <v>0</v>
      </c>
    </row>
    <row r="329" spans="1:12" s="1105" customFormat="1" ht="15.75" customHeight="1" x14ac:dyDescent="0.2">
      <c r="A329" s="1039"/>
      <c r="B329" s="1122" t="s">
        <v>114</v>
      </c>
      <c r="C329" s="1110">
        <v>1800</v>
      </c>
      <c r="D329" s="455"/>
      <c r="E329" s="455"/>
      <c r="F329" s="455"/>
      <c r="G329" s="455"/>
      <c r="H329" s="455"/>
      <c r="I329" s="455"/>
      <c r="J329" s="455"/>
      <c r="K329" s="455"/>
      <c r="L329" s="207">
        <f t="shared" si="31"/>
        <v>0</v>
      </c>
    </row>
    <row r="330" spans="1:12" ht="12" x14ac:dyDescent="0.2">
      <c r="A330" s="1039"/>
      <c r="B330" s="1122" t="s">
        <v>128</v>
      </c>
      <c r="C330" s="1110">
        <v>1900</v>
      </c>
      <c r="D330" s="455"/>
      <c r="E330" s="455"/>
      <c r="F330" s="455"/>
      <c r="G330" s="455"/>
      <c r="H330" s="455"/>
      <c r="I330" s="455"/>
      <c r="J330" s="455"/>
      <c r="K330" s="455"/>
      <c r="L330" s="207">
        <f t="shared" si="31"/>
        <v>0</v>
      </c>
    </row>
    <row r="331" spans="1:12" ht="12" x14ac:dyDescent="0.2">
      <c r="A331" s="1039"/>
      <c r="B331" s="1122" t="s">
        <v>116</v>
      </c>
      <c r="C331" s="1110">
        <v>1910</v>
      </c>
      <c r="D331" s="290"/>
      <c r="E331" s="291"/>
      <c r="F331" s="291"/>
      <c r="G331" s="291"/>
      <c r="H331" s="291"/>
      <c r="I331" s="455"/>
      <c r="J331" s="295"/>
      <c r="K331" s="291"/>
      <c r="L331" s="207">
        <f t="shared" si="31"/>
        <v>0</v>
      </c>
    </row>
    <row r="332" spans="1:12" ht="12" customHeight="1" x14ac:dyDescent="0.2">
      <c r="A332" s="1039"/>
      <c r="B332" s="1122" t="s">
        <v>117</v>
      </c>
      <c r="C332" s="1110">
        <v>1911</v>
      </c>
      <c r="D332" s="296"/>
      <c r="E332" s="297"/>
      <c r="F332" s="297"/>
      <c r="G332" s="297"/>
      <c r="H332" s="297"/>
      <c r="I332" s="455"/>
      <c r="J332" s="298"/>
      <c r="K332" s="297"/>
      <c r="L332" s="207">
        <f t="shared" si="31"/>
        <v>0</v>
      </c>
    </row>
    <row r="333" spans="1:12" s="1105" customFormat="1" ht="15.75" customHeight="1" x14ac:dyDescent="0.2">
      <c r="A333" s="1039"/>
      <c r="B333" s="1122" t="s">
        <v>118</v>
      </c>
      <c r="C333" s="1110">
        <v>1912</v>
      </c>
      <c r="D333" s="296"/>
      <c r="E333" s="297"/>
      <c r="F333" s="297"/>
      <c r="G333" s="297"/>
      <c r="H333" s="297"/>
      <c r="I333" s="455"/>
      <c r="J333" s="298"/>
      <c r="K333" s="297"/>
      <c r="L333" s="207">
        <f t="shared" si="31"/>
        <v>0</v>
      </c>
    </row>
    <row r="334" spans="1:12" s="1105" customFormat="1" ht="12.75" customHeight="1" x14ac:dyDescent="0.2">
      <c r="A334" s="1039"/>
      <c r="B334" s="1122" t="s">
        <v>119</v>
      </c>
      <c r="C334" s="1110">
        <v>1913</v>
      </c>
      <c r="D334" s="296"/>
      <c r="E334" s="297"/>
      <c r="F334" s="297"/>
      <c r="G334" s="297"/>
      <c r="H334" s="297"/>
      <c r="I334" s="455"/>
      <c r="J334" s="298"/>
      <c r="K334" s="297"/>
      <c r="L334" s="207">
        <f t="shared" si="31"/>
        <v>0</v>
      </c>
    </row>
    <row r="335" spans="1:12" ht="12" x14ac:dyDescent="0.2">
      <c r="A335" s="1039"/>
      <c r="B335" s="1122" t="s">
        <v>120</v>
      </c>
      <c r="C335" s="1110">
        <v>1914</v>
      </c>
      <c r="D335" s="296"/>
      <c r="E335" s="297"/>
      <c r="F335" s="297"/>
      <c r="G335" s="297"/>
      <c r="H335" s="297"/>
      <c r="I335" s="455"/>
      <c r="J335" s="298"/>
      <c r="K335" s="297"/>
      <c r="L335" s="207">
        <f t="shared" si="31"/>
        <v>0</v>
      </c>
    </row>
    <row r="336" spans="1:12" ht="12" x14ac:dyDescent="0.2">
      <c r="A336" s="1039"/>
      <c r="B336" s="1122" t="s">
        <v>121</v>
      </c>
      <c r="C336" s="1110">
        <v>1915</v>
      </c>
      <c r="D336" s="296"/>
      <c r="E336" s="297"/>
      <c r="F336" s="297"/>
      <c r="G336" s="297"/>
      <c r="H336" s="297"/>
      <c r="I336" s="455"/>
      <c r="J336" s="298"/>
      <c r="K336" s="297"/>
      <c r="L336" s="207">
        <f t="shared" si="31"/>
        <v>0</v>
      </c>
    </row>
    <row r="337" spans="1:13" ht="12" x14ac:dyDescent="0.2">
      <c r="A337" s="1039"/>
      <c r="B337" s="1122" t="s">
        <v>285</v>
      </c>
      <c r="C337" s="1110">
        <v>1916</v>
      </c>
      <c r="D337" s="296"/>
      <c r="E337" s="297"/>
      <c r="F337" s="297"/>
      <c r="G337" s="297"/>
      <c r="H337" s="297"/>
      <c r="I337" s="455"/>
      <c r="J337" s="298"/>
      <c r="K337" s="297"/>
      <c r="L337" s="207">
        <f t="shared" si="31"/>
        <v>0</v>
      </c>
    </row>
    <row r="338" spans="1:13" ht="12" customHeight="1" x14ac:dyDescent="0.2">
      <c r="A338" s="1039"/>
      <c r="B338" s="1122" t="s">
        <v>286</v>
      </c>
      <c r="C338" s="1110">
        <v>1917</v>
      </c>
      <c r="D338" s="296"/>
      <c r="E338" s="297"/>
      <c r="F338" s="297"/>
      <c r="G338" s="297"/>
      <c r="H338" s="297"/>
      <c r="I338" s="455"/>
      <c r="J338" s="298"/>
      <c r="K338" s="297"/>
      <c r="L338" s="207">
        <f t="shared" si="31"/>
        <v>0</v>
      </c>
    </row>
    <row r="339" spans="1:13" s="1105" customFormat="1" ht="15.75" customHeight="1" x14ac:dyDescent="0.2">
      <c r="A339" s="1039"/>
      <c r="B339" s="1122" t="s">
        <v>287</v>
      </c>
      <c r="C339" s="1110">
        <v>1918</v>
      </c>
      <c r="D339" s="296"/>
      <c r="E339" s="297"/>
      <c r="F339" s="297"/>
      <c r="G339" s="297"/>
      <c r="H339" s="297"/>
      <c r="I339" s="455"/>
      <c r="J339" s="298"/>
      <c r="K339" s="297"/>
      <c r="L339" s="207">
        <f t="shared" si="31"/>
        <v>0</v>
      </c>
    </row>
    <row r="340" spans="1:13" ht="12" customHeight="1" x14ac:dyDescent="0.2">
      <c r="A340" s="1039"/>
      <c r="B340" s="1122" t="s">
        <v>288</v>
      </c>
      <c r="C340" s="1110">
        <v>1919</v>
      </c>
      <c r="D340" s="296"/>
      <c r="E340" s="297"/>
      <c r="F340" s="297"/>
      <c r="G340" s="297"/>
      <c r="H340" s="297"/>
      <c r="I340" s="455"/>
      <c r="J340" s="298"/>
      <c r="K340" s="297"/>
      <c r="L340" s="207">
        <f t="shared" si="31"/>
        <v>0</v>
      </c>
      <c r="M340" s="1121"/>
    </row>
    <row r="341" spans="1:13" ht="12" x14ac:dyDescent="0.2">
      <c r="A341" s="1039"/>
      <c r="B341" s="1122" t="s">
        <v>289</v>
      </c>
      <c r="C341" s="1123">
        <v>1920</v>
      </c>
      <c r="D341" s="296"/>
      <c r="E341" s="297"/>
      <c r="F341" s="297"/>
      <c r="G341" s="297"/>
      <c r="H341" s="297"/>
      <c r="I341" s="455"/>
      <c r="J341" s="298"/>
      <c r="K341" s="297"/>
      <c r="L341" s="207">
        <f t="shared" si="31"/>
        <v>0</v>
      </c>
    </row>
    <row r="342" spans="1:13" ht="15.75" customHeight="1" x14ac:dyDescent="0.2">
      <c r="A342" s="1039"/>
      <c r="B342" s="1122" t="s">
        <v>290</v>
      </c>
      <c r="C342" s="1123">
        <v>1921</v>
      </c>
      <c r="D342" s="296"/>
      <c r="E342" s="297"/>
      <c r="F342" s="297"/>
      <c r="G342" s="297"/>
      <c r="H342" s="297"/>
      <c r="I342" s="455"/>
      <c r="J342" s="298"/>
      <c r="K342" s="297"/>
      <c r="L342" s="207">
        <f t="shared" si="31"/>
        <v>0</v>
      </c>
    </row>
    <row r="343" spans="1:13" s="1105" customFormat="1" ht="16.7" customHeight="1" x14ac:dyDescent="0.2">
      <c r="A343" s="1039"/>
      <c r="B343" s="1124" t="s">
        <v>122</v>
      </c>
      <c r="C343" s="1125">
        <v>1922</v>
      </c>
      <c r="D343" s="296"/>
      <c r="E343" s="297"/>
      <c r="F343" s="297"/>
      <c r="G343" s="297"/>
      <c r="H343" s="297"/>
      <c r="I343" s="455"/>
      <c r="J343" s="298"/>
      <c r="K343" s="297"/>
      <c r="L343" s="207">
        <f t="shared" si="31"/>
        <v>0</v>
      </c>
    </row>
    <row r="344" spans="1:13" s="1105" customFormat="1" ht="15.75" customHeight="1" thickBot="1" x14ac:dyDescent="0.25">
      <c r="A344" s="1039"/>
      <c r="B344" s="1115" t="s">
        <v>775</v>
      </c>
      <c r="C344" s="1116">
        <v>1000</v>
      </c>
      <c r="D344" s="210">
        <f t="shared" ref="D344:K344" si="32">SUM(D316:D343)</f>
        <v>0</v>
      </c>
      <c r="E344" s="210">
        <f t="shared" si="32"/>
        <v>0</v>
      </c>
      <c r="F344" s="210">
        <f t="shared" si="32"/>
        <v>0</v>
      </c>
      <c r="G344" s="210">
        <f t="shared" si="32"/>
        <v>0</v>
      </c>
      <c r="H344" s="210">
        <f t="shared" si="32"/>
        <v>0</v>
      </c>
      <c r="I344" s="210">
        <f t="shared" si="32"/>
        <v>0</v>
      </c>
      <c r="J344" s="210">
        <f t="shared" si="32"/>
        <v>0</v>
      </c>
      <c r="K344" s="210">
        <f t="shared" si="32"/>
        <v>0</v>
      </c>
      <c r="L344" s="276">
        <f t="shared" si="31"/>
        <v>0</v>
      </c>
    </row>
    <row r="345" spans="1:13" ht="12.75" thickTop="1" x14ac:dyDescent="0.2">
      <c r="A345" s="1039"/>
      <c r="B345" s="1117" t="s">
        <v>785</v>
      </c>
      <c r="C345" s="1118">
        <v>2000</v>
      </c>
      <c r="D345" s="299"/>
      <c r="E345" s="300"/>
      <c r="F345" s="300"/>
      <c r="G345" s="300"/>
      <c r="H345" s="300"/>
      <c r="I345" s="300"/>
      <c r="J345" s="300"/>
      <c r="K345" s="300"/>
      <c r="L345" s="301"/>
    </row>
    <row r="346" spans="1:13" ht="12" x14ac:dyDescent="0.2">
      <c r="A346" s="1039"/>
      <c r="B346" s="1119" t="s">
        <v>222</v>
      </c>
      <c r="C346" s="1120">
        <v>2100</v>
      </c>
      <c r="D346" s="302"/>
      <c r="E346" s="303"/>
      <c r="F346" s="303"/>
      <c r="G346" s="303"/>
      <c r="H346" s="303"/>
      <c r="I346" s="303"/>
      <c r="J346" s="303"/>
      <c r="K346" s="303"/>
      <c r="L346" s="304"/>
    </row>
    <row r="347" spans="1:13" ht="12" customHeight="1" x14ac:dyDescent="0.2">
      <c r="A347" s="1039"/>
      <c r="B347" s="1109" t="s">
        <v>130</v>
      </c>
      <c r="C347" s="1110">
        <v>2110</v>
      </c>
      <c r="D347" s="455"/>
      <c r="E347" s="455"/>
      <c r="F347" s="455"/>
      <c r="G347" s="455"/>
      <c r="H347" s="455"/>
      <c r="I347" s="455"/>
      <c r="J347" s="455"/>
      <c r="K347" s="455"/>
      <c r="L347" s="207">
        <f t="shared" ref="L347:L352" si="33">SUM(D347:K347)</f>
        <v>0</v>
      </c>
    </row>
    <row r="348" spans="1:13" s="1105" customFormat="1" ht="12.75" customHeight="1" x14ac:dyDescent="0.2">
      <c r="A348" s="1039"/>
      <c r="B348" s="1111" t="s">
        <v>131</v>
      </c>
      <c r="C348" s="1110">
        <v>2120</v>
      </c>
      <c r="D348" s="455"/>
      <c r="E348" s="455"/>
      <c r="F348" s="455"/>
      <c r="G348" s="455"/>
      <c r="H348" s="455"/>
      <c r="I348" s="455"/>
      <c r="J348" s="455"/>
      <c r="K348" s="455"/>
      <c r="L348" s="207">
        <f t="shared" si="33"/>
        <v>0</v>
      </c>
    </row>
    <row r="349" spans="1:13" ht="12" customHeight="1" x14ac:dyDescent="0.2">
      <c r="A349" s="1039"/>
      <c r="B349" s="1111" t="s">
        <v>132</v>
      </c>
      <c r="C349" s="1110">
        <v>2130</v>
      </c>
      <c r="D349" s="455"/>
      <c r="E349" s="455"/>
      <c r="F349" s="455"/>
      <c r="G349" s="455"/>
      <c r="H349" s="455"/>
      <c r="I349" s="455"/>
      <c r="J349" s="455"/>
      <c r="K349" s="455"/>
      <c r="L349" s="207">
        <f t="shared" si="33"/>
        <v>0</v>
      </c>
    </row>
    <row r="350" spans="1:13" s="1105" customFormat="1" ht="15.75" customHeight="1" x14ac:dyDescent="0.2">
      <c r="A350" s="1039"/>
      <c r="B350" s="1111" t="s">
        <v>133</v>
      </c>
      <c r="C350" s="1110">
        <v>2140</v>
      </c>
      <c r="D350" s="455"/>
      <c r="E350" s="455"/>
      <c r="F350" s="455"/>
      <c r="G350" s="455"/>
      <c r="H350" s="455"/>
      <c r="I350" s="455"/>
      <c r="J350" s="455"/>
      <c r="K350" s="455"/>
      <c r="L350" s="207">
        <f t="shared" si="33"/>
        <v>0</v>
      </c>
    </row>
    <row r="351" spans="1:13" ht="12" x14ac:dyDescent="0.2">
      <c r="A351" s="1039"/>
      <c r="B351" s="1112" t="s">
        <v>360</v>
      </c>
      <c r="C351" s="1622">
        <v>2150</v>
      </c>
      <c r="D351" s="455"/>
      <c r="E351" s="455"/>
      <c r="F351" s="455"/>
      <c r="G351" s="455"/>
      <c r="H351" s="455"/>
      <c r="I351" s="455"/>
      <c r="J351" s="455"/>
      <c r="K351" s="455"/>
      <c r="L351" s="207">
        <f t="shared" si="33"/>
        <v>0</v>
      </c>
    </row>
    <row r="352" spans="1:13" ht="12" x14ac:dyDescent="0.2">
      <c r="A352" s="1039" t="s">
        <v>880</v>
      </c>
      <c r="B352" s="1113" t="s">
        <v>698</v>
      </c>
      <c r="C352" s="1114">
        <v>2190</v>
      </c>
      <c r="D352" s="455"/>
      <c r="E352" s="455"/>
      <c r="F352" s="455"/>
      <c r="G352" s="455"/>
      <c r="H352" s="455"/>
      <c r="I352" s="455"/>
      <c r="J352" s="455"/>
      <c r="K352" s="455"/>
      <c r="L352" s="207">
        <f t="shared" si="33"/>
        <v>0</v>
      </c>
    </row>
    <row r="353" spans="1:12" ht="12.75" customHeight="1" thickBot="1" x14ac:dyDescent="0.25">
      <c r="A353" s="1039"/>
      <c r="B353" s="1099" t="s">
        <v>500</v>
      </c>
      <c r="C353" s="1623">
        <v>2100</v>
      </c>
      <c r="D353" s="210">
        <f>SUM(D347:D352)</f>
        <v>0</v>
      </c>
      <c r="E353" s="210">
        <f t="shared" ref="E353:L353" si="34">SUM(E347:E352)</f>
        <v>0</v>
      </c>
      <c r="F353" s="210">
        <f t="shared" si="34"/>
        <v>0</v>
      </c>
      <c r="G353" s="210">
        <f t="shared" si="34"/>
        <v>0</v>
      </c>
      <c r="H353" s="210">
        <f t="shared" si="34"/>
        <v>0</v>
      </c>
      <c r="I353" s="210">
        <f t="shared" si="34"/>
        <v>0</v>
      </c>
      <c r="J353" s="210">
        <f t="shared" si="34"/>
        <v>0</v>
      </c>
      <c r="K353" s="210">
        <f t="shared" si="34"/>
        <v>0</v>
      </c>
      <c r="L353" s="210">
        <f t="shared" si="34"/>
        <v>0</v>
      </c>
    </row>
    <row r="354" spans="1:12" ht="12" customHeight="1" thickTop="1" x14ac:dyDescent="0.2">
      <c r="A354" s="1039"/>
      <c r="B354" s="1100" t="s">
        <v>224</v>
      </c>
      <c r="C354" s="1104">
        <v>2200</v>
      </c>
      <c r="D354" s="305"/>
      <c r="E354" s="306"/>
      <c r="F354" s="306"/>
      <c r="G354" s="306"/>
      <c r="H354" s="306"/>
      <c r="I354" s="306"/>
      <c r="J354" s="306"/>
      <c r="K354" s="306"/>
      <c r="L354" s="217"/>
    </row>
    <row r="355" spans="1:12" s="1105" customFormat="1" ht="15.75" customHeight="1" x14ac:dyDescent="0.2">
      <c r="A355" s="1039"/>
      <c r="B355" s="1101" t="s">
        <v>257</v>
      </c>
      <c r="C355" s="1102">
        <v>2210</v>
      </c>
      <c r="D355" s="455"/>
      <c r="E355" s="455"/>
      <c r="F355" s="455"/>
      <c r="G355" s="455"/>
      <c r="H355" s="455"/>
      <c r="I355" s="455"/>
      <c r="J355" s="455"/>
      <c r="K355" s="455"/>
      <c r="L355" s="207">
        <f>SUM(D355:K355)</f>
        <v>0</v>
      </c>
    </row>
    <row r="356" spans="1:12" s="1105" customFormat="1" ht="15.75" customHeight="1" x14ac:dyDescent="0.2">
      <c r="A356" s="1039"/>
      <c r="B356" s="1101" t="s">
        <v>258</v>
      </c>
      <c r="C356" s="1102">
        <v>2220</v>
      </c>
      <c r="D356" s="455"/>
      <c r="E356" s="455"/>
      <c r="F356" s="455"/>
      <c r="G356" s="455"/>
      <c r="H356" s="455"/>
      <c r="I356" s="455"/>
      <c r="J356" s="455"/>
      <c r="K356" s="455"/>
      <c r="L356" s="207">
        <f>SUM(D356:K356)</f>
        <v>0</v>
      </c>
    </row>
    <row r="357" spans="1:12" ht="12" x14ac:dyDescent="0.2">
      <c r="A357" s="1039"/>
      <c r="B357" s="1101" t="s">
        <v>259</v>
      </c>
      <c r="C357" s="1102">
        <v>2230</v>
      </c>
      <c r="D357" s="455"/>
      <c r="E357" s="455"/>
      <c r="F357" s="455"/>
      <c r="G357" s="455"/>
      <c r="H357" s="455"/>
      <c r="I357" s="455"/>
      <c r="J357" s="455"/>
      <c r="K357" s="455"/>
      <c r="L357" s="207">
        <f>SUM(D357:K357)</f>
        <v>0</v>
      </c>
    </row>
    <row r="358" spans="1:12" ht="12.75" thickBot="1" x14ac:dyDescent="0.25">
      <c r="A358" s="1039"/>
      <c r="B358" s="1099" t="s">
        <v>501</v>
      </c>
      <c r="C358" s="1623">
        <v>2200</v>
      </c>
      <c r="D358" s="210">
        <f>SUM(D355:D357)</f>
        <v>0</v>
      </c>
      <c r="E358" s="210">
        <f t="shared" ref="E358:L358" si="35">SUM(E355:E357)</f>
        <v>0</v>
      </c>
      <c r="F358" s="210">
        <f t="shared" si="35"/>
        <v>0</v>
      </c>
      <c r="G358" s="210">
        <f t="shared" si="35"/>
        <v>0</v>
      </c>
      <c r="H358" s="210">
        <f t="shared" si="35"/>
        <v>0</v>
      </c>
      <c r="I358" s="210">
        <f t="shared" si="35"/>
        <v>0</v>
      </c>
      <c r="J358" s="210">
        <f t="shared" si="35"/>
        <v>0</v>
      </c>
      <c r="K358" s="210">
        <f t="shared" si="35"/>
        <v>0</v>
      </c>
      <c r="L358" s="210">
        <f t="shared" si="35"/>
        <v>0</v>
      </c>
    </row>
    <row r="359" spans="1:12" ht="12" customHeight="1" thickTop="1" x14ac:dyDescent="0.2">
      <c r="A359" s="1039"/>
      <c r="B359" s="1097" t="s">
        <v>168</v>
      </c>
      <c r="C359" s="1108">
        <v>2300</v>
      </c>
      <c r="D359" s="305"/>
      <c r="E359" s="306"/>
      <c r="F359" s="306"/>
      <c r="G359" s="306"/>
      <c r="H359" s="306"/>
      <c r="I359" s="306"/>
      <c r="J359" s="306"/>
      <c r="K359" s="306"/>
      <c r="L359" s="307"/>
    </row>
    <row r="360" spans="1:12" ht="12" x14ac:dyDescent="0.2">
      <c r="A360" s="1039"/>
      <c r="B360" s="1107" t="s">
        <v>293</v>
      </c>
      <c r="C360" s="1102">
        <v>2310</v>
      </c>
      <c r="D360" s="455"/>
      <c r="E360" s="455"/>
      <c r="F360" s="455">
        <v>360000</v>
      </c>
      <c r="G360" s="455"/>
      <c r="H360" s="455"/>
      <c r="I360" s="455"/>
      <c r="J360" s="455"/>
      <c r="K360" s="274"/>
      <c r="L360" s="207">
        <f>SUM(D360:K360)</f>
        <v>360000</v>
      </c>
    </row>
    <row r="361" spans="1:12" ht="12" x14ac:dyDescent="0.2">
      <c r="A361" s="1039"/>
      <c r="B361" s="1107" t="s">
        <v>294</v>
      </c>
      <c r="C361" s="1102">
        <v>2320</v>
      </c>
      <c r="D361" s="455"/>
      <c r="E361" s="455"/>
      <c r="F361" s="455"/>
      <c r="G361" s="455"/>
      <c r="H361" s="455"/>
      <c r="I361" s="455"/>
      <c r="J361" s="455"/>
      <c r="K361" s="274"/>
      <c r="L361" s="207">
        <f>SUM(D361:K361)</f>
        <v>0</v>
      </c>
    </row>
    <row r="362" spans="1:12" ht="12" x14ac:dyDescent="0.2">
      <c r="A362" s="1039"/>
      <c r="B362" s="1107" t="s">
        <v>507</v>
      </c>
      <c r="C362" s="1102">
        <v>2330</v>
      </c>
      <c r="D362" s="455"/>
      <c r="E362" s="455"/>
      <c r="F362" s="455"/>
      <c r="G362" s="455"/>
      <c r="H362" s="455"/>
      <c r="I362" s="455"/>
      <c r="J362" s="455"/>
      <c r="K362" s="274"/>
      <c r="L362" s="207">
        <f>SUM(D362:K362)</f>
        <v>0</v>
      </c>
    </row>
    <row r="363" spans="1:12" s="1105" customFormat="1" ht="12" x14ac:dyDescent="0.2">
      <c r="A363" s="1039"/>
      <c r="B363" s="1106" t="s">
        <v>283</v>
      </c>
      <c r="C363" s="1646">
        <v>2361</v>
      </c>
      <c r="D363" s="455"/>
      <c r="E363" s="455"/>
      <c r="F363" s="455"/>
      <c r="G363" s="455"/>
      <c r="H363" s="455"/>
      <c r="I363" s="455"/>
      <c r="J363" s="455"/>
      <c r="K363" s="630"/>
      <c r="L363" s="631">
        <f>SUM(D363:K363)</f>
        <v>0</v>
      </c>
    </row>
    <row r="364" spans="1:12" ht="12" x14ac:dyDescent="0.2">
      <c r="A364" s="1039"/>
      <c r="B364" s="1106" t="s">
        <v>284</v>
      </c>
      <c r="C364" s="1646">
        <v>2365</v>
      </c>
      <c r="D364" s="455"/>
      <c r="E364" s="455"/>
      <c r="F364" s="455"/>
      <c r="G364" s="455"/>
      <c r="H364" s="455"/>
      <c r="I364" s="455"/>
      <c r="J364" s="455"/>
      <c r="K364" s="630"/>
      <c r="L364" s="632">
        <f t="shared" ref="L364" si="36">SUM(D364:K364)</f>
        <v>0</v>
      </c>
    </row>
    <row r="365" spans="1:12" ht="12.75" thickBot="1" x14ac:dyDescent="0.25">
      <c r="A365" s="1039"/>
      <c r="B365" s="1099" t="s">
        <v>502</v>
      </c>
      <c r="C365" s="1071">
        <v>2300</v>
      </c>
      <c r="D365" s="210">
        <f t="shared" ref="D365:L365" si="37">SUM(D360:D364)</f>
        <v>0</v>
      </c>
      <c r="E365" s="210">
        <f t="shared" si="37"/>
        <v>0</v>
      </c>
      <c r="F365" s="210">
        <f t="shared" si="37"/>
        <v>360000</v>
      </c>
      <c r="G365" s="210">
        <f t="shared" si="37"/>
        <v>0</v>
      </c>
      <c r="H365" s="210">
        <f t="shared" si="37"/>
        <v>0</v>
      </c>
      <c r="I365" s="210">
        <f t="shared" si="37"/>
        <v>0</v>
      </c>
      <c r="J365" s="210">
        <f t="shared" si="37"/>
        <v>0</v>
      </c>
      <c r="K365" s="210">
        <f t="shared" si="37"/>
        <v>0</v>
      </c>
      <c r="L365" s="210">
        <f t="shared" si="37"/>
        <v>360000</v>
      </c>
    </row>
    <row r="366" spans="1:12" ht="12.75" thickTop="1" x14ac:dyDescent="0.2">
      <c r="A366" s="1039"/>
      <c r="B366" s="1100" t="s">
        <v>174</v>
      </c>
      <c r="C366" s="1104">
        <v>2400</v>
      </c>
      <c r="D366" s="305"/>
      <c r="E366" s="306"/>
      <c r="F366" s="306"/>
      <c r="G366" s="306"/>
      <c r="H366" s="306"/>
      <c r="I366" s="306"/>
      <c r="J366" s="306"/>
      <c r="K366" s="306"/>
      <c r="L366" s="307"/>
    </row>
    <row r="367" spans="1:12" ht="12" x14ac:dyDescent="0.2">
      <c r="A367" s="1039"/>
      <c r="B367" s="1101" t="s">
        <v>508</v>
      </c>
      <c r="C367" s="1102">
        <v>2410</v>
      </c>
      <c r="D367" s="455"/>
      <c r="E367" s="455"/>
      <c r="F367" s="455"/>
      <c r="G367" s="455"/>
      <c r="H367" s="455"/>
      <c r="I367" s="455"/>
      <c r="J367" s="455"/>
      <c r="K367" s="455"/>
      <c r="L367" s="207">
        <f>SUM(D367:K367)</f>
        <v>0</v>
      </c>
    </row>
    <row r="368" spans="1:12" ht="12" x14ac:dyDescent="0.2">
      <c r="A368" s="1039" t="s">
        <v>881</v>
      </c>
      <c r="B368" s="1103" t="s">
        <v>692</v>
      </c>
      <c r="C368" s="1102">
        <v>2490</v>
      </c>
      <c r="D368" s="455"/>
      <c r="E368" s="455"/>
      <c r="F368" s="455"/>
      <c r="G368" s="455"/>
      <c r="H368" s="455"/>
      <c r="I368" s="455"/>
      <c r="J368" s="455"/>
      <c r="K368" s="455"/>
      <c r="L368" s="207">
        <f>SUM(D368:K368)</f>
        <v>0</v>
      </c>
    </row>
    <row r="369" spans="1:12" ht="12.75" thickBot="1" x14ac:dyDescent="0.25">
      <c r="A369" s="1039"/>
      <c r="B369" s="1099" t="s">
        <v>503</v>
      </c>
      <c r="C369" s="1071">
        <v>2400</v>
      </c>
      <c r="D369" s="210">
        <f>SUM(D367:D368)</f>
        <v>0</v>
      </c>
      <c r="E369" s="210">
        <f t="shared" ref="E369:K369" si="38">SUM(E367:E368)</f>
        <v>0</v>
      </c>
      <c r="F369" s="210">
        <f t="shared" si="38"/>
        <v>0</v>
      </c>
      <c r="G369" s="210">
        <f t="shared" si="38"/>
        <v>0</v>
      </c>
      <c r="H369" s="210">
        <f t="shared" si="38"/>
        <v>0</v>
      </c>
      <c r="I369" s="210">
        <f t="shared" si="38"/>
        <v>0</v>
      </c>
      <c r="J369" s="210">
        <f t="shared" si="38"/>
        <v>0</v>
      </c>
      <c r="K369" s="210">
        <f t="shared" si="38"/>
        <v>0</v>
      </c>
      <c r="L369" s="276">
        <f>SUM(L367:L368)</f>
        <v>0</v>
      </c>
    </row>
    <row r="370" spans="1:12" ht="12.75" thickTop="1" x14ac:dyDescent="0.2">
      <c r="A370" s="1039"/>
      <c r="B370" s="1100" t="s">
        <v>223</v>
      </c>
      <c r="C370" s="1624">
        <v>2500</v>
      </c>
      <c r="D370" s="305"/>
      <c r="E370" s="306"/>
      <c r="F370" s="306"/>
      <c r="G370" s="306"/>
      <c r="H370" s="306"/>
      <c r="I370" s="306"/>
      <c r="J370" s="306"/>
      <c r="K370" s="306"/>
      <c r="L370" s="307"/>
    </row>
    <row r="371" spans="1:12" ht="12" x14ac:dyDescent="0.2">
      <c r="A371" s="1039"/>
      <c r="B371" s="1082" t="s">
        <v>361</v>
      </c>
      <c r="C371" s="1083">
        <v>2510</v>
      </c>
      <c r="D371" s="455"/>
      <c r="E371" s="455"/>
      <c r="F371" s="455"/>
      <c r="G371" s="455"/>
      <c r="H371" s="455"/>
      <c r="I371" s="455"/>
      <c r="J371" s="455"/>
      <c r="K371" s="455"/>
      <c r="L371" s="207">
        <f t="shared" ref="L371:L377" si="39">SUM(D371:K371)</f>
        <v>0</v>
      </c>
    </row>
    <row r="372" spans="1:12" ht="12" x14ac:dyDescent="0.2">
      <c r="A372" s="1039"/>
      <c r="B372" s="1082" t="s">
        <v>362</v>
      </c>
      <c r="C372" s="1083">
        <v>2520</v>
      </c>
      <c r="D372" s="455"/>
      <c r="E372" s="455"/>
      <c r="F372" s="455"/>
      <c r="G372" s="455"/>
      <c r="H372" s="455"/>
      <c r="I372" s="455"/>
      <c r="J372" s="455"/>
      <c r="K372" s="455"/>
      <c r="L372" s="207">
        <f t="shared" si="39"/>
        <v>0</v>
      </c>
    </row>
    <row r="373" spans="1:12" ht="12" x14ac:dyDescent="0.2">
      <c r="A373" s="1039"/>
      <c r="B373" s="1143" t="s">
        <v>225</v>
      </c>
      <c r="C373" s="1144">
        <v>2530</v>
      </c>
      <c r="D373" s="1614"/>
      <c r="E373" s="1614"/>
      <c r="F373" s="1614"/>
      <c r="G373" s="1614"/>
      <c r="H373" s="1614"/>
      <c r="I373" s="1614"/>
      <c r="J373" s="1614"/>
      <c r="K373" s="1614"/>
      <c r="L373" s="207">
        <f t="shared" si="39"/>
        <v>0</v>
      </c>
    </row>
    <row r="374" spans="1:12" ht="12" x14ac:dyDescent="0.2">
      <c r="A374" s="1039"/>
      <c r="B374" s="1082" t="s">
        <v>363</v>
      </c>
      <c r="C374" s="1083">
        <v>2540</v>
      </c>
      <c r="D374" s="455"/>
      <c r="E374" s="455"/>
      <c r="F374" s="455"/>
      <c r="G374" s="455"/>
      <c r="H374" s="455"/>
      <c r="I374" s="455"/>
      <c r="J374" s="455"/>
      <c r="K374" s="455"/>
      <c r="L374" s="207">
        <f t="shared" si="39"/>
        <v>0</v>
      </c>
    </row>
    <row r="375" spans="1:12" ht="12" x14ac:dyDescent="0.2">
      <c r="A375" s="1039"/>
      <c r="B375" s="1082" t="s">
        <v>364</v>
      </c>
      <c r="C375" s="1083">
        <v>2550</v>
      </c>
      <c r="D375" s="455"/>
      <c r="E375" s="455"/>
      <c r="F375" s="455"/>
      <c r="G375" s="455"/>
      <c r="H375" s="455"/>
      <c r="I375" s="455"/>
      <c r="J375" s="455"/>
      <c r="K375" s="455"/>
      <c r="L375" s="207">
        <f t="shared" si="39"/>
        <v>0</v>
      </c>
    </row>
    <row r="376" spans="1:12" ht="12" x14ac:dyDescent="0.2">
      <c r="A376" s="1039"/>
      <c r="B376" s="1082" t="s">
        <v>365</v>
      </c>
      <c r="C376" s="1083">
        <v>2560</v>
      </c>
      <c r="D376" s="455"/>
      <c r="E376" s="455"/>
      <c r="F376" s="455"/>
      <c r="G376" s="455"/>
      <c r="H376" s="455"/>
      <c r="I376" s="455"/>
      <c r="J376" s="455"/>
      <c r="K376" s="455"/>
      <c r="L376" s="207">
        <f t="shared" si="39"/>
        <v>0</v>
      </c>
    </row>
    <row r="377" spans="1:12" ht="12" x14ac:dyDescent="0.2">
      <c r="A377" s="1039"/>
      <c r="B377" s="1082" t="s">
        <v>366</v>
      </c>
      <c r="C377" s="1083">
        <v>2570</v>
      </c>
      <c r="D377" s="455"/>
      <c r="E377" s="455"/>
      <c r="F377" s="455"/>
      <c r="G377" s="455"/>
      <c r="H377" s="455"/>
      <c r="I377" s="455"/>
      <c r="J377" s="455"/>
      <c r="K377" s="455"/>
      <c r="L377" s="207">
        <f t="shared" si="39"/>
        <v>0</v>
      </c>
    </row>
    <row r="378" spans="1:12" ht="12.75" thickBot="1" x14ac:dyDescent="0.25">
      <c r="A378" s="1039"/>
      <c r="B378" s="1093" t="s">
        <v>504</v>
      </c>
      <c r="C378" s="1096">
        <v>2500</v>
      </c>
      <c r="D378" s="309">
        <f>SUM(D371:D377)</f>
        <v>0</v>
      </c>
      <c r="E378" s="309">
        <f t="shared" ref="E378:L378" si="40">SUM(E371:E377)</f>
        <v>0</v>
      </c>
      <c r="F378" s="309">
        <f t="shared" si="40"/>
        <v>0</v>
      </c>
      <c r="G378" s="309">
        <f t="shared" si="40"/>
        <v>0</v>
      </c>
      <c r="H378" s="309">
        <f t="shared" si="40"/>
        <v>0</v>
      </c>
      <c r="I378" s="309">
        <f t="shared" si="40"/>
        <v>0</v>
      </c>
      <c r="J378" s="309">
        <f t="shared" si="40"/>
        <v>0</v>
      </c>
      <c r="K378" s="309">
        <f t="shared" si="40"/>
        <v>0</v>
      </c>
      <c r="L378" s="309">
        <f t="shared" si="40"/>
        <v>0</v>
      </c>
    </row>
    <row r="379" spans="1:12" ht="12.75" thickTop="1" x14ac:dyDescent="0.2">
      <c r="A379" s="1039"/>
      <c r="B379" s="1097" t="s">
        <v>175</v>
      </c>
      <c r="C379" s="1098" t="s">
        <v>738</v>
      </c>
      <c r="D379" s="310"/>
      <c r="E379" s="311"/>
      <c r="F379" s="311"/>
      <c r="G379" s="311"/>
      <c r="H379" s="311"/>
      <c r="I379" s="311"/>
      <c r="J379" s="311"/>
      <c r="K379" s="311"/>
      <c r="L379" s="312"/>
    </row>
    <row r="380" spans="1:12" ht="12" x14ac:dyDescent="0.2">
      <c r="A380" s="1039"/>
      <c r="B380" s="1082" t="s">
        <v>367</v>
      </c>
      <c r="C380" s="1083">
        <v>2610</v>
      </c>
      <c r="D380" s="455"/>
      <c r="E380" s="455"/>
      <c r="F380" s="455"/>
      <c r="G380" s="455"/>
      <c r="H380" s="455"/>
      <c r="I380" s="455"/>
      <c r="J380" s="455"/>
      <c r="K380" s="455"/>
      <c r="L380" s="207">
        <f>SUM(D380:K380)</f>
        <v>0</v>
      </c>
    </row>
    <row r="381" spans="1:12" ht="12" x14ac:dyDescent="0.2">
      <c r="A381" s="1039"/>
      <c r="B381" s="1082" t="s">
        <v>410</v>
      </c>
      <c r="C381" s="1083">
        <v>2620</v>
      </c>
      <c r="D381" s="455"/>
      <c r="E381" s="455"/>
      <c r="F381" s="455"/>
      <c r="G381" s="455"/>
      <c r="H381" s="455"/>
      <c r="I381" s="455"/>
      <c r="J381" s="455"/>
      <c r="K381" s="455"/>
      <c r="L381" s="207">
        <f t="shared" ref="L381:L384" si="41">SUM(D381:K381)</f>
        <v>0</v>
      </c>
    </row>
    <row r="382" spans="1:12" ht="12" x14ac:dyDescent="0.2">
      <c r="A382" s="1039"/>
      <c r="B382" s="1082" t="s">
        <v>443</v>
      </c>
      <c r="C382" s="1083">
        <v>2630</v>
      </c>
      <c r="D382" s="455"/>
      <c r="E382" s="455"/>
      <c r="F382" s="455"/>
      <c r="G382" s="455"/>
      <c r="H382" s="455"/>
      <c r="I382" s="455"/>
      <c r="J382" s="455"/>
      <c r="K382" s="455"/>
      <c r="L382" s="207">
        <f t="shared" si="41"/>
        <v>0</v>
      </c>
    </row>
    <row r="383" spans="1:12" ht="12" x14ac:dyDescent="0.2">
      <c r="A383" s="1039"/>
      <c r="B383" s="1082" t="s">
        <v>460</v>
      </c>
      <c r="C383" s="1083">
        <v>2640</v>
      </c>
      <c r="D383" s="455"/>
      <c r="E383" s="455"/>
      <c r="F383" s="455"/>
      <c r="G383" s="455"/>
      <c r="H383" s="455"/>
      <c r="I383" s="455"/>
      <c r="J383" s="455"/>
      <c r="K383" s="455"/>
      <c r="L383" s="207">
        <f t="shared" si="41"/>
        <v>0</v>
      </c>
    </row>
    <row r="384" spans="1:12" ht="12" x14ac:dyDescent="0.2">
      <c r="A384" s="1039"/>
      <c r="B384" s="1082" t="s">
        <v>461</v>
      </c>
      <c r="C384" s="1083">
        <v>2660</v>
      </c>
      <c r="D384" s="455"/>
      <c r="E384" s="455"/>
      <c r="F384" s="455"/>
      <c r="G384" s="455"/>
      <c r="H384" s="455"/>
      <c r="I384" s="455"/>
      <c r="J384" s="455"/>
      <c r="K384" s="455"/>
      <c r="L384" s="207">
        <f t="shared" si="41"/>
        <v>0</v>
      </c>
    </row>
    <row r="385" spans="1:12" ht="12.75" thickBot="1" x14ac:dyDescent="0.25">
      <c r="A385" s="1039"/>
      <c r="B385" s="1093" t="s">
        <v>505</v>
      </c>
      <c r="C385" s="1096">
        <v>2600</v>
      </c>
      <c r="D385" s="313">
        <f>SUM(D380:D384)</f>
        <v>0</v>
      </c>
      <c r="E385" s="313">
        <f t="shared" ref="E385:K385" si="42">SUM(E380:E384)</f>
        <v>0</v>
      </c>
      <c r="F385" s="313">
        <f t="shared" si="42"/>
        <v>0</v>
      </c>
      <c r="G385" s="313">
        <f t="shared" si="42"/>
        <v>0</v>
      </c>
      <c r="H385" s="313">
        <f t="shared" si="42"/>
        <v>0</v>
      </c>
      <c r="I385" s="313">
        <f t="shared" si="42"/>
        <v>0</v>
      </c>
      <c r="J385" s="313">
        <f t="shared" si="42"/>
        <v>0</v>
      </c>
      <c r="K385" s="313">
        <f t="shared" si="42"/>
        <v>0</v>
      </c>
      <c r="L385" s="313">
        <f>SUM(L380:L384)</f>
        <v>0</v>
      </c>
    </row>
    <row r="386" spans="1:12" ht="12.75" thickTop="1" x14ac:dyDescent="0.2">
      <c r="A386" s="1039" t="s">
        <v>882</v>
      </c>
      <c r="B386" s="1094" t="s">
        <v>891</v>
      </c>
      <c r="C386" s="1095">
        <v>2900</v>
      </c>
      <c r="D386" s="455"/>
      <c r="E386" s="455"/>
      <c r="F386" s="455"/>
      <c r="G386" s="455"/>
      <c r="H386" s="455"/>
      <c r="I386" s="455"/>
      <c r="J386" s="455"/>
      <c r="K386" s="455"/>
      <c r="L386" s="314">
        <f>SUM(D386:K386)</f>
        <v>0</v>
      </c>
    </row>
    <row r="387" spans="1:12" ht="12.75" thickBot="1" x14ac:dyDescent="0.25">
      <c r="A387" s="1039"/>
      <c r="B387" s="1093" t="s">
        <v>506</v>
      </c>
      <c r="C387" s="1071">
        <v>2000</v>
      </c>
      <c r="D387" s="313">
        <f t="shared" ref="D387:K387" si="43">SUM(D353,D358,D365,D369,D378,D385,D386)</f>
        <v>0</v>
      </c>
      <c r="E387" s="313">
        <f t="shared" si="43"/>
        <v>0</v>
      </c>
      <c r="F387" s="313">
        <f t="shared" si="43"/>
        <v>360000</v>
      </c>
      <c r="G387" s="313">
        <f t="shared" si="43"/>
        <v>0</v>
      </c>
      <c r="H387" s="313">
        <f t="shared" si="43"/>
        <v>0</v>
      </c>
      <c r="I387" s="313">
        <f t="shared" si="43"/>
        <v>0</v>
      </c>
      <c r="J387" s="313">
        <f t="shared" si="43"/>
        <v>0</v>
      </c>
      <c r="K387" s="313">
        <f t="shared" si="43"/>
        <v>0</v>
      </c>
      <c r="L387" s="315">
        <f>SUM(D387:K387)</f>
        <v>360000</v>
      </c>
    </row>
    <row r="388" spans="1:12" ht="13.5" thickTop="1" thickBot="1" x14ac:dyDescent="0.25">
      <c r="A388" s="1039"/>
      <c r="B388" s="1091" t="s">
        <v>786</v>
      </c>
      <c r="C388" s="1092">
        <v>3000</v>
      </c>
      <c r="D388" s="455"/>
      <c r="E388" s="455"/>
      <c r="F388" s="455"/>
      <c r="G388" s="455"/>
      <c r="H388" s="455"/>
      <c r="I388" s="455"/>
      <c r="J388" s="455"/>
      <c r="K388" s="455"/>
      <c r="L388" s="277">
        <f>SUM(D388:K388)</f>
        <v>0</v>
      </c>
    </row>
    <row r="389" spans="1:12" ht="12.75" thickTop="1" x14ac:dyDescent="0.2">
      <c r="A389" s="1039"/>
      <c r="B389" s="1087" t="s">
        <v>787</v>
      </c>
      <c r="C389" s="1088">
        <v>4000</v>
      </c>
      <c r="D389" s="316"/>
      <c r="E389" s="317"/>
      <c r="F389" s="317"/>
      <c r="G389" s="317"/>
      <c r="H389" s="317"/>
      <c r="I389" s="317"/>
      <c r="J389" s="317"/>
      <c r="K389" s="317"/>
      <c r="L389" s="318"/>
    </row>
    <row r="390" spans="1:12" ht="12" x14ac:dyDescent="0.2">
      <c r="A390" s="1039"/>
      <c r="B390" s="1089" t="s">
        <v>608</v>
      </c>
      <c r="C390" s="1090">
        <v>4100</v>
      </c>
      <c r="D390" s="319"/>
      <c r="E390" s="320"/>
      <c r="F390" s="320"/>
      <c r="G390" s="320"/>
      <c r="H390" s="320"/>
      <c r="I390" s="320"/>
      <c r="J390" s="320"/>
      <c r="K390" s="320"/>
      <c r="L390" s="321"/>
    </row>
    <row r="391" spans="1:12" ht="12" x14ac:dyDescent="0.2">
      <c r="A391" s="1039"/>
      <c r="B391" s="1082" t="s">
        <v>517</v>
      </c>
      <c r="C391" s="1083">
        <v>4110</v>
      </c>
      <c r="D391" s="322"/>
      <c r="E391" s="323"/>
      <c r="F391" s="455"/>
      <c r="G391" s="322"/>
      <c r="H391" s="323"/>
      <c r="I391" s="455"/>
      <c r="J391" s="322"/>
      <c r="K391" s="322"/>
      <c r="L391" s="289">
        <f t="shared" ref="L391:L396" si="44">SUM(D391:K391)</f>
        <v>0</v>
      </c>
    </row>
    <row r="392" spans="1:12" ht="12" x14ac:dyDescent="0.2">
      <c r="A392" s="1039"/>
      <c r="B392" s="1084" t="s">
        <v>226</v>
      </c>
      <c r="C392" s="1625">
        <v>4120</v>
      </c>
      <c r="D392" s="324"/>
      <c r="E392" s="251"/>
      <c r="F392" s="455"/>
      <c r="G392" s="251"/>
      <c r="H392" s="250"/>
      <c r="I392" s="455"/>
      <c r="J392" s="251"/>
      <c r="K392" s="251"/>
      <c r="L392" s="207">
        <f t="shared" si="44"/>
        <v>0</v>
      </c>
    </row>
    <row r="393" spans="1:12" ht="12" x14ac:dyDescent="0.2">
      <c r="A393" s="1039"/>
      <c r="B393" s="1072" t="s">
        <v>411</v>
      </c>
      <c r="C393" s="1085">
        <v>4130</v>
      </c>
      <c r="D393" s="324"/>
      <c r="E393" s="251"/>
      <c r="F393" s="455"/>
      <c r="G393" s="251"/>
      <c r="H393" s="250"/>
      <c r="I393" s="455"/>
      <c r="J393" s="251"/>
      <c r="K393" s="251"/>
      <c r="L393" s="207">
        <f t="shared" si="44"/>
        <v>0</v>
      </c>
    </row>
    <row r="394" spans="1:12" ht="12" x14ac:dyDescent="0.2">
      <c r="A394" s="1039"/>
      <c r="B394" s="1072" t="s">
        <v>196</v>
      </c>
      <c r="C394" s="1085">
        <v>4140</v>
      </c>
      <c r="D394" s="324"/>
      <c r="E394" s="251"/>
      <c r="F394" s="455"/>
      <c r="G394" s="251"/>
      <c r="H394" s="250"/>
      <c r="I394" s="455"/>
      <c r="J394" s="251"/>
      <c r="K394" s="251"/>
      <c r="L394" s="207">
        <f t="shared" si="44"/>
        <v>0</v>
      </c>
    </row>
    <row r="395" spans="1:12" ht="12" x14ac:dyDescent="0.2">
      <c r="A395" s="1039"/>
      <c r="B395" s="1072" t="s">
        <v>254</v>
      </c>
      <c r="C395" s="1085">
        <v>4170</v>
      </c>
      <c r="D395" s="324"/>
      <c r="E395" s="251"/>
      <c r="F395" s="455"/>
      <c r="G395" s="251"/>
      <c r="H395" s="250"/>
      <c r="I395" s="455"/>
      <c r="J395" s="251"/>
      <c r="K395" s="251"/>
      <c r="L395" s="207">
        <f t="shared" si="44"/>
        <v>0</v>
      </c>
    </row>
    <row r="396" spans="1:12" ht="12" x14ac:dyDescent="0.2">
      <c r="A396" s="1039" t="s">
        <v>883</v>
      </c>
      <c r="B396" s="1086" t="s">
        <v>893</v>
      </c>
      <c r="C396" s="1085">
        <v>4190</v>
      </c>
      <c r="D396" s="324"/>
      <c r="E396" s="251"/>
      <c r="F396" s="455"/>
      <c r="G396" s="251"/>
      <c r="H396" s="250"/>
      <c r="I396" s="455"/>
      <c r="J396" s="251"/>
      <c r="K396" s="251"/>
      <c r="L396" s="207">
        <f t="shared" si="44"/>
        <v>0</v>
      </c>
    </row>
    <row r="397" spans="1:12" ht="12.75" thickBot="1" x14ac:dyDescent="0.25">
      <c r="A397" s="1039"/>
      <c r="B397" s="1081" t="s">
        <v>613</v>
      </c>
      <c r="C397" s="1063">
        <v>4100</v>
      </c>
      <c r="D397" s="324"/>
      <c r="E397" s="251"/>
      <c r="F397" s="325">
        <f>SUM(F391:F396)</f>
        <v>0</v>
      </c>
      <c r="G397" s="251"/>
      <c r="H397" s="250"/>
      <c r="I397" s="263">
        <f>SUM(I391:I396)</f>
        <v>0</v>
      </c>
      <c r="J397" s="251"/>
      <c r="K397" s="251"/>
      <c r="L397" s="263">
        <f>SUM(L391:L396)</f>
        <v>0</v>
      </c>
    </row>
    <row r="398" spans="1:12" ht="12.75" thickTop="1" x14ac:dyDescent="0.2">
      <c r="A398" s="1039"/>
      <c r="B398" s="1075" t="s">
        <v>243</v>
      </c>
      <c r="C398" s="1076">
        <v>4210</v>
      </c>
      <c r="D398" s="324"/>
      <c r="E398" s="251"/>
      <c r="F398" s="251"/>
      <c r="G398" s="251"/>
      <c r="H398" s="250"/>
      <c r="I398" s="455"/>
      <c r="J398" s="251"/>
      <c r="K398" s="251"/>
      <c r="L398" s="289">
        <f t="shared" ref="L398:L404" si="45">SUM(D398:K398)</f>
        <v>0</v>
      </c>
    </row>
    <row r="399" spans="1:12" ht="12" x14ac:dyDescent="0.2">
      <c r="A399" s="1039"/>
      <c r="B399" s="1077" t="s">
        <v>183</v>
      </c>
      <c r="C399" s="1078">
        <v>4220</v>
      </c>
      <c r="D399" s="324"/>
      <c r="E399" s="251"/>
      <c r="F399" s="251"/>
      <c r="G399" s="251"/>
      <c r="H399" s="250"/>
      <c r="I399" s="455"/>
      <c r="J399" s="251"/>
      <c r="K399" s="251"/>
      <c r="L399" s="289">
        <f t="shared" si="45"/>
        <v>0</v>
      </c>
    </row>
    <row r="400" spans="1:12" ht="12" x14ac:dyDescent="0.2">
      <c r="A400" s="1039"/>
      <c r="B400" s="1079" t="s">
        <v>184</v>
      </c>
      <c r="C400" s="1078">
        <v>4230</v>
      </c>
      <c r="D400" s="324"/>
      <c r="E400" s="251"/>
      <c r="F400" s="251"/>
      <c r="G400" s="251"/>
      <c r="H400" s="250"/>
      <c r="I400" s="455"/>
      <c r="J400" s="251"/>
      <c r="K400" s="251"/>
      <c r="L400" s="289">
        <f t="shared" si="45"/>
        <v>0</v>
      </c>
    </row>
    <row r="401" spans="1:12" ht="12" x14ac:dyDescent="0.2">
      <c r="A401" s="1039"/>
      <c r="B401" s="1077" t="s">
        <v>185</v>
      </c>
      <c r="C401" s="1078">
        <v>4240</v>
      </c>
      <c r="D401" s="324"/>
      <c r="E401" s="251"/>
      <c r="F401" s="251"/>
      <c r="G401" s="251"/>
      <c r="H401" s="250"/>
      <c r="I401" s="455"/>
      <c r="J401" s="251"/>
      <c r="K401" s="251"/>
      <c r="L401" s="289">
        <f t="shared" si="45"/>
        <v>0</v>
      </c>
    </row>
    <row r="402" spans="1:12" ht="12" x14ac:dyDescent="0.2">
      <c r="A402" s="1039"/>
      <c r="B402" s="1077" t="s">
        <v>186</v>
      </c>
      <c r="C402" s="1078">
        <v>4270</v>
      </c>
      <c r="D402" s="324"/>
      <c r="E402" s="251"/>
      <c r="F402" s="251"/>
      <c r="G402" s="251"/>
      <c r="H402" s="250"/>
      <c r="I402" s="455"/>
      <c r="J402" s="251"/>
      <c r="K402" s="251"/>
      <c r="L402" s="289">
        <f t="shared" si="45"/>
        <v>0</v>
      </c>
    </row>
    <row r="403" spans="1:12" ht="12" x14ac:dyDescent="0.2">
      <c r="A403" s="1039"/>
      <c r="B403" s="1077" t="s">
        <v>187</v>
      </c>
      <c r="C403" s="1078">
        <v>4280</v>
      </c>
      <c r="D403" s="324"/>
      <c r="E403" s="251"/>
      <c r="F403" s="251"/>
      <c r="G403" s="251"/>
      <c r="H403" s="250"/>
      <c r="I403" s="455"/>
      <c r="J403" s="251"/>
      <c r="K403" s="251"/>
      <c r="L403" s="289">
        <f t="shared" si="45"/>
        <v>0</v>
      </c>
    </row>
    <row r="404" spans="1:12" ht="12" x14ac:dyDescent="0.2">
      <c r="A404" s="1039" t="s">
        <v>884</v>
      </c>
      <c r="B404" s="1079" t="s">
        <v>892</v>
      </c>
      <c r="C404" s="1080">
        <v>4290</v>
      </c>
      <c r="D404" s="324"/>
      <c r="E404" s="251"/>
      <c r="F404" s="251"/>
      <c r="G404" s="251"/>
      <c r="H404" s="250"/>
      <c r="I404" s="455"/>
      <c r="J404" s="251"/>
      <c r="K404" s="251"/>
      <c r="L404" s="289">
        <f t="shared" si="45"/>
        <v>0</v>
      </c>
    </row>
    <row r="405" spans="1:12" ht="12.75" thickBot="1" x14ac:dyDescent="0.25">
      <c r="A405" s="1039"/>
      <c r="B405" s="1062" t="s">
        <v>635</v>
      </c>
      <c r="C405" s="1063">
        <v>4200</v>
      </c>
      <c r="D405" s="324"/>
      <c r="E405" s="251"/>
      <c r="F405" s="251"/>
      <c r="G405" s="251"/>
      <c r="H405" s="250"/>
      <c r="I405" s="326">
        <f>SUM(I398:I404)</f>
        <v>0</v>
      </c>
      <c r="J405" s="251"/>
      <c r="K405" s="251"/>
      <c r="L405" s="326">
        <f>SUM(L398:L404)</f>
        <v>0</v>
      </c>
    </row>
    <row r="406" spans="1:12" ht="12.75" thickTop="1" x14ac:dyDescent="0.2">
      <c r="A406" s="1039"/>
      <c r="B406" s="1073" t="s">
        <v>188</v>
      </c>
      <c r="C406" s="1074">
        <v>4310</v>
      </c>
      <c r="D406" s="324"/>
      <c r="E406" s="251"/>
      <c r="F406" s="251"/>
      <c r="G406" s="251"/>
      <c r="H406" s="250"/>
      <c r="I406" s="455"/>
      <c r="J406" s="251"/>
      <c r="K406" s="251"/>
      <c r="L406" s="289">
        <f t="shared" ref="L406:L412" si="46">SUM(D406:K406)</f>
        <v>0</v>
      </c>
    </row>
    <row r="407" spans="1:12" ht="12" x14ac:dyDescent="0.2">
      <c r="A407" s="1039"/>
      <c r="B407" s="1072" t="s">
        <v>189</v>
      </c>
      <c r="C407" s="809">
        <v>4320</v>
      </c>
      <c r="D407" s="324"/>
      <c r="E407" s="251"/>
      <c r="F407" s="251"/>
      <c r="G407" s="251"/>
      <c r="H407" s="250"/>
      <c r="I407" s="455"/>
      <c r="J407" s="251"/>
      <c r="K407" s="251"/>
      <c r="L407" s="289">
        <f t="shared" si="46"/>
        <v>0</v>
      </c>
    </row>
    <row r="408" spans="1:12" ht="12" x14ac:dyDescent="0.2">
      <c r="A408" s="1039"/>
      <c r="B408" s="1072" t="s">
        <v>190</v>
      </c>
      <c r="C408" s="809">
        <v>4330</v>
      </c>
      <c r="D408" s="324"/>
      <c r="E408" s="251"/>
      <c r="F408" s="251"/>
      <c r="G408" s="251"/>
      <c r="H408" s="250"/>
      <c r="I408" s="455"/>
      <c r="J408" s="251"/>
      <c r="K408" s="251"/>
      <c r="L408" s="289">
        <f t="shared" si="46"/>
        <v>0</v>
      </c>
    </row>
    <row r="409" spans="1:12" ht="12" x14ac:dyDescent="0.2">
      <c r="A409" s="1039"/>
      <c r="B409" s="1072" t="s">
        <v>191</v>
      </c>
      <c r="C409" s="809">
        <v>4340</v>
      </c>
      <c r="D409" s="324"/>
      <c r="E409" s="251"/>
      <c r="F409" s="251"/>
      <c r="G409" s="251"/>
      <c r="H409" s="250"/>
      <c r="I409" s="455"/>
      <c r="J409" s="251"/>
      <c r="K409" s="251"/>
      <c r="L409" s="289">
        <f t="shared" si="46"/>
        <v>0</v>
      </c>
    </row>
    <row r="410" spans="1:12" ht="12" x14ac:dyDescent="0.2">
      <c r="A410" s="1039"/>
      <c r="B410" s="1072" t="s">
        <v>192</v>
      </c>
      <c r="C410" s="809">
        <v>4370</v>
      </c>
      <c r="D410" s="324"/>
      <c r="E410" s="251"/>
      <c r="F410" s="251"/>
      <c r="G410" s="251"/>
      <c r="H410" s="250"/>
      <c r="I410" s="455"/>
      <c r="J410" s="251"/>
      <c r="K410" s="251"/>
      <c r="L410" s="289">
        <f t="shared" si="46"/>
        <v>0</v>
      </c>
    </row>
    <row r="411" spans="1:12" ht="12" x14ac:dyDescent="0.2">
      <c r="A411" s="1039"/>
      <c r="B411" s="1072" t="s">
        <v>193</v>
      </c>
      <c r="C411" s="809">
        <v>4380</v>
      </c>
      <c r="D411" s="324"/>
      <c r="E411" s="251"/>
      <c r="F411" s="257"/>
      <c r="G411" s="251"/>
      <c r="H411" s="250"/>
      <c r="I411" s="455"/>
      <c r="J411" s="251"/>
      <c r="K411" s="251"/>
      <c r="L411" s="289">
        <f t="shared" si="46"/>
        <v>0</v>
      </c>
    </row>
    <row r="412" spans="1:12" ht="12" x14ac:dyDescent="0.2">
      <c r="A412" s="1039" t="s">
        <v>885</v>
      </c>
      <c r="B412" s="1072" t="s">
        <v>693</v>
      </c>
      <c r="C412" s="809">
        <v>4390</v>
      </c>
      <c r="D412" s="324"/>
      <c r="E412" s="251"/>
      <c r="F412" s="256"/>
      <c r="G412" s="251"/>
      <c r="H412" s="250"/>
      <c r="I412" s="455"/>
      <c r="J412" s="251"/>
      <c r="K412" s="251"/>
      <c r="L412" s="289">
        <f t="shared" si="46"/>
        <v>0</v>
      </c>
    </row>
    <row r="413" spans="1:12" ht="12.75" thickBot="1" x14ac:dyDescent="0.25">
      <c r="A413" s="1039"/>
      <c r="B413" s="1070" t="s">
        <v>636</v>
      </c>
      <c r="C413" s="1071">
        <v>4300</v>
      </c>
      <c r="D413" s="324"/>
      <c r="E413" s="251"/>
      <c r="F413" s="263">
        <f>SUM(F406:F412)</f>
        <v>0</v>
      </c>
      <c r="G413" s="251"/>
      <c r="H413" s="250"/>
      <c r="I413" s="263">
        <f>SUM(I406:I412)</f>
        <v>0</v>
      </c>
      <c r="J413" s="251"/>
      <c r="K413" s="251"/>
      <c r="L413" s="263">
        <f>SUM(L406:L412)</f>
        <v>0</v>
      </c>
    </row>
    <row r="414" spans="1:12" ht="12.75" thickTop="1" x14ac:dyDescent="0.2">
      <c r="A414" s="1039"/>
      <c r="B414" s="1068" t="s">
        <v>610</v>
      </c>
      <c r="C414" s="1069">
        <v>4400</v>
      </c>
      <c r="D414" s="324"/>
      <c r="E414" s="251"/>
      <c r="F414" s="327"/>
      <c r="G414" s="251"/>
      <c r="H414" s="250"/>
      <c r="I414" s="327"/>
      <c r="J414" s="251"/>
      <c r="K414" s="251"/>
      <c r="L414" s="328">
        <f>SUM(D414:K414)</f>
        <v>0</v>
      </c>
    </row>
    <row r="415" spans="1:12" ht="12.75" thickBot="1" x14ac:dyDescent="0.25">
      <c r="A415" s="1039"/>
      <c r="B415" s="1062" t="s">
        <v>611</v>
      </c>
      <c r="C415" s="1063">
        <v>4000</v>
      </c>
      <c r="D415" s="324"/>
      <c r="E415" s="251"/>
      <c r="F415" s="263">
        <f>SUM(F397,F405,F413,F414)</f>
        <v>0</v>
      </c>
      <c r="G415" s="251"/>
      <c r="H415" s="250"/>
      <c r="I415" s="263">
        <f>SUM(I397,I405,I413,I414)</f>
        <v>0</v>
      </c>
      <c r="J415" s="251"/>
      <c r="K415" s="251"/>
      <c r="L415" s="263">
        <f>SUM(L397,L405,L413,L414)</f>
        <v>0</v>
      </c>
    </row>
    <row r="416" spans="1:12" ht="12.75" thickTop="1" x14ac:dyDescent="0.2">
      <c r="A416" s="1039"/>
      <c r="B416" s="1064" t="s">
        <v>780</v>
      </c>
      <c r="C416" s="1065">
        <v>5000</v>
      </c>
      <c r="D416" s="638"/>
      <c r="E416" s="639"/>
      <c r="F416" s="639"/>
      <c r="G416" s="639"/>
      <c r="H416" s="639"/>
      <c r="I416" s="640"/>
      <c r="J416" s="639"/>
      <c r="K416" s="639"/>
      <c r="L416" s="641"/>
    </row>
    <row r="417" spans="1:12" ht="12" x14ac:dyDescent="0.2">
      <c r="A417" s="1039"/>
      <c r="B417" s="1066" t="s">
        <v>198</v>
      </c>
      <c r="C417" s="1067"/>
      <c r="D417" s="630"/>
      <c r="E417" s="630"/>
      <c r="F417" s="630"/>
      <c r="G417" s="630"/>
      <c r="H417" s="630"/>
      <c r="I417" s="630"/>
      <c r="J417" s="630"/>
      <c r="K417" s="630"/>
      <c r="L417" s="630"/>
    </row>
    <row r="418" spans="1:12" ht="12" x14ac:dyDescent="0.2">
      <c r="A418" s="1039"/>
      <c r="B418" s="1059" t="s">
        <v>295</v>
      </c>
      <c r="C418" s="1060">
        <v>5110</v>
      </c>
      <c r="D418" s="630"/>
      <c r="E418" s="630"/>
      <c r="F418" s="630"/>
      <c r="G418" s="630"/>
      <c r="H418" s="630"/>
      <c r="I418" s="642"/>
      <c r="J418" s="630"/>
      <c r="K418" s="630"/>
      <c r="L418" s="643">
        <f>SUM(D418:K418)</f>
        <v>0</v>
      </c>
    </row>
    <row r="419" spans="1:12" ht="12" x14ac:dyDescent="0.2">
      <c r="A419" s="1039"/>
      <c r="B419" s="1221" t="s">
        <v>396</v>
      </c>
      <c r="C419" s="1223">
        <v>5120</v>
      </c>
      <c r="D419" s="630"/>
      <c r="E419" s="630"/>
      <c r="F419" s="630"/>
      <c r="G419" s="630"/>
      <c r="H419" s="630"/>
      <c r="I419" s="1601"/>
      <c r="J419" s="630"/>
      <c r="K419" s="630"/>
      <c r="L419" s="643">
        <f>SUM(D419:K419)</f>
        <v>0</v>
      </c>
    </row>
    <row r="420" spans="1:12" ht="12" x14ac:dyDescent="0.2">
      <c r="A420" s="1039"/>
      <c r="B420" s="1061" t="s">
        <v>781</v>
      </c>
      <c r="C420" s="1060">
        <v>5130</v>
      </c>
      <c r="D420" s="630"/>
      <c r="E420" s="630"/>
      <c r="F420" s="630"/>
      <c r="G420" s="630"/>
      <c r="H420" s="630"/>
      <c r="I420" s="642"/>
      <c r="J420" s="630"/>
      <c r="K420" s="630"/>
      <c r="L420" s="643">
        <f>SUM(D420:K420)</f>
        <v>0</v>
      </c>
    </row>
    <row r="421" spans="1:12" ht="12" x14ac:dyDescent="0.2">
      <c r="A421" s="1039"/>
      <c r="B421" s="1159" t="s">
        <v>414</v>
      </c>
      <c r="C421" s="1160">
        <v>5140</v>
      </c>
      <c r="D421" s="630"/>
      <c r="E421" s="630"/>
      <c r="F421" s="630"/>
      <c r="G421" s="630"/>
      <c r="H421" s="630"/>
      <c r="I421" s="1601"/>
      <c r="J421" s="630"/>
      <c r="K421" s="630"/>
      <c r="L421" s="643">
        <f>SUM(D421:K421)</f>
        <v>0</v>
      </c>
    </row>
    <row r="422" spans="1:12" ht="12" x14ac:dyDescent="0.2">
      <c r="A422" s="1039" t="s">
        <v>886</v>
      </c>
      <c r="B422" s="1061" t="s">
        <v>782</v>
      </c>
      <c r="C422" s="1060">
        <v>5150</v>
      </c>
      <c r="D422" s="630"/>
      <c r="E422" s="630"/>
      <c r="F422" s="630"/>
      <c r="G422" s="630"/>
      <c r="H422" s="630"/>
      <c r="I422" s="642"/>
      <c r="J422" s="630"/>
      <c r="K422" s="630"/>
      <c r="L422" s="643">
        <f>SUM(D422:K422)</f>
        <v>0</v>
      </c>
    </row>
    <row r="423" spans="1:12" ht="12" x14ac:dyDescent="0.2">
      <c r="A423" s="1039"/>
      <c r="B423" s="1037" t="s">
        <v>216</v>
      </c>
      <c r="C423" s="1647">
        <v>5200</v>
      </c>
      <c r="D423" s="630"/>
      <c r="E423" s="630"/>
      <c r="F423" s="630"/>
      <c r="G423" s="630"/>
      <c r="H423" s="630"/>
      <c r="I423" s="1602"/>
      <c r="J423" s="630"/>
      <c r="K423" s="630"/>
      <c r="L423" s="643">
        <f t="shared" ref="L423:L425" si="47">SUM(D423:K423)</f>
        <v>0</v>
      </c>
    </row>
    <row r="424" spans="1:12" ht="26.25" x14ac:dyDescent="0.2">
      <c r="A424" s="1039" t="s">
        <v>3125</v>
      </c>
      <c r="B424" s="1612" t="s">
        <v>3122</v>
      </c>
      <c r="C424" s="1067">
        <v>5300</v>
      </c>
      <c r="D424" s="630"/>
      <c r="E424" s="630"/>
      <c r="F424" s="630"/>
      <c r="G424" s="630"/>
      <c r="H424" s="630"/>
      <c r="I424" s="1602"/>
      <c r="J424" s="630"/>
      <c r="K424" s="630"/>
      <c r="L424" s="643">
        <f t="shared" si="47"/>
        <v>0</v>
      </c>
    </row>
    <row r="425" spans="1:12" ht="12" x14ac:dyDescent="0.2">
      <c r="A425" s="1039" t="s">
        <v>3126</v>
      </c>
      <c r="B425" s="1219" t="s">
        <v>890</v>
      </c>
      <c r="C425" s="1067">
        <v>5400</v>
      </c>
      <c r="D425" s="630"/>
      <c r="E425" s="630"/>
      <c r="F425" s="642"/>
      <c r="G425" s="630"/>
      <c r="H425" s="630"/>
      <c r="I425" s="1602"/>
      <c r="J425" s="630"/>
      <c r="K425" s="630"/>
      <c r="L425" s="643">
        <f t="shared" si="47"/>
        <v>0</v>
      </c>
    </row>
    <row r="426" spans="1:12" ht="12.75" thickBot="1" x14ac:dyDescent="0.25">
      <c r="A426" s="1039"/>
      <c r="B426" s="1058" t="s">
        <v>176</v>
      </c>
      <c r="C426" s="1648">
        <v>5000</v>
      </c>
      <c r="D426" s="630"/>
      <c r="E426" s="630"/>
      <c r="F426" s="644">
        <f>SUM(F418:F425)</f>
        <v>0</v>
      </c>
      <c r="G426" s="630"/>
      <c r="H426" s="630"/>
      <c r="I426" s="644">
        <f>SUM(I418:I425)</f>
        <v>0</v>
      </c>
      <c r="J426" s="630"/>
      <c r="K426" s="630"/>
      <c r="L426" s="644">
        <f>SUM(L418:L425)</f>
        <v>0</v>
      </c>
    </row>
    <row r="427" spans="1:12" ht="13.5" thickTop="1" thickBot="1" x14ac:dyDescent="0.25">
      <c r="A427" s="1039"/>
      <c r="B427" s="1056" t="s">
        <v>783</v>
      </c>
      <c r="C427" s="1057">
        <v>6000</v>
      </c>
      <c r="D427" s="630"/>
      <c r="E427" s="630"/>
      <c r="F427" s="645"/>
      <c r="G427" s="630"/>
      <c r="H427" s="630"/>
      <c r="I427" s="646"/>
      <c r="J427" s="645"/>
      <c r="K427" s="630"/>
      <c r="L427" s="643">
        <f>SUM(D427:K427)</f>
        <v>0</v>
      </c>
    </row>
    <row r="428" spans="1:12" s="1051" customFormat="1" ht="13.5" customHeight="1" thickTop="1" thickBot="1" x14ac:dyDescent="0.25">
      <c r="A428" s="1039"/>
      <c r="B428" s="1732" t="s">
        <v>439</v>
      </c>
      <c r="C428" s="1733"/>
      <c r="D428" s="507">
        <f>SUM(D344+D387+D388)</f>
        <v>0</v>
      </c>
      <c r="E428" s="507">
        <f>SUM(E344+E387+E388)</f>
        <v>0</v>
      </c>
      <c r="F428" s="507">
        <f>SUM(F344+F387+F388+F415+F426)</f>
        <v>360000</v>
      </c>
      <c r="G428" s="507">
        <f>SUM(G344+G387+G388)</f>
        <v>0</v>
      </c>
      <c r="H428" s="507">
        <f>SUM(H344+H387+H388)</f>
        <v>0</v>
      </c>
      <c r="I428" s="507">
        <f>SUM(I344+I387+I388+I415+I426+I427)</f>
        <v>0</v>
      </c>
      <c r="J428" s="507">
        <f>SUM(J344+J387+J388)</f>
        <v>0</v>
      </c>
      <c r="K428" s="507">
        <f>SUM(K344+K387+K388)</f>
        <v>0</v>
      </c>
      <c r="L428" s="507">
        <f>SUM(L344+L387+L388+L415+L426+L427)</f>
        <v>360000</v>
      </c>
    </row>
    <row r="429" spans="1:12" ht="15.75" customHeight="1" thickTop="1" thickBot="1" x14ac:dyDescent="0.25">
      <c r="A429" s="1039"/>
      <c r="B429" s="1734" t="s">
        <v>67</v>
      </c>
      <c r="C429" s="1735"/>
      <c r="D429" s="1609"/>
      <c r="E429" s="1610"/>
      <c r="F429" s="1610"/>
      <c r="G429" s="1610"/>
      <c r="H429" s="1610"/>
      <c r="I429" s="1610"/>
      <c r="J429" s="1610"/>
      <c r="K429" s="1611"/>
      <c r="L429" s="263">
        <f>'EstRev 6-11'!K270-'EstExp 12-20'!L428</f>
        <v>0</v>
      </c>
    </row>
    <row r="430" spans="1:12" ht="6.75" customHeight="1" thickTop="1" x14ac:dyDescent="0.2">
      <c r="A430" s="1039"/>
      <c r="B430" s="1052"/>
      <c r="C430" s="1053"/>
      <c r="D430" s="618"/>
      <c r="E430" s="619"/>
      <c r="F430" s="619"/>
      <c r="G430" s="619"/>
      <c r="H430" s="619"/>
      <c r="I430" s="619"/>
      <c r="J430" s="619"/>
      <c r="K430" s="619"/>
      <c r="L430" s="620"/>
    </row>
    <row r="431" spans="1:12" ht="12" x14ac:dyDescent="0.2">
      <c r="A431" s="1039"/>
      <c r="B431" s="1054" t="s">
        <v>203</v>
      </c>
      <c r="C431" s="1649"/>
      <c r="D431" s="487"/>
      <c r="E431" s="488"/>
      <c r="F431" s="488"/>
      <c r="G431" s="488"/>
      <c r="H431" s="488"/>
      <c r="I431" s="488"/>
      <c r="J431" s="488"/>
      <c r="K431" s="488"/>
      <c r="L431" s="489"/>
    </row>
    <row r="432" spans="1:12" ht="12" x14ac:dyDescent="0.2">
      <c r="A432" s="1039"/>
      <c r="B432" s="1043" t="s">
        <v>182</v>
      </c>
      <c r="C432" s="1055" t="s">
        <v>100</v>
      </c>
      <c r="D432" s="490"/>
      <c r="E432" s="491"/>
      <c r="F432" s="491"/>
      <c r="G432" s="491"/>
      <c r="H432" s="491"/>
      <c r="I432" s="491"/>
      <c r="J432" s="491"/>
      <c r="K432" s="491"/>
      <c r="L432" s="492"/>
    </row>
    <row r="433" spans="1:12" ht="12" x14ac:dyDescent="0.2">
      <c r="A433" s="1039"/>
      <c r="B433" s="1044" t="s">
        <v>223</v>
      </c>
      <c r="C433" s="1650">
        <v>2500</v>
      </c>
      <c r="D433" s="493"/>
      <c r="E433" s="493"/>
      <c r="F433" s="493"/>
      <c r="G433" s="493"/>
      <c r="H433" s="493"/>
      <c r="I433" s="493"/>
      <c r="J433" s="493"/>
      <c r="K433" s="493"/>
      <c r="L433" s="493"/>
    </row>
    <row r="434" spans="1:12" ht="12" x14ac:dyDescent="0.2">
      <c r="A434" s="1039"/>
      <c r="B434" s="1040" t="s">
        <v>225</v>
      </c>
      <c r="C434" s="1651">
        <v>2530</v>
      </c>
      <c r="D434" s="455"/>
      <c r="E434" s="455"/>
      <c r="F434" s="455"/>
      <c r="G434" s="455"/>
      <c r="H434" s="455"/>
      <c r="I434" s="455"/>
      <c r="J434" s="455"/>
      <c r="K434" s="493"/>
      <c r="L434" s="207">
        <f>SUM(D434:K434)</f>
        <v>0</v>
      </c>
    </row>
    <row r="435" spans="1:12" ht="12" x14ac:dyDescent="0.2">
      <c r="A435" s="1039"/>
      <c r="B435" s="1040" t="s">
        <v>251</v>
      </c>
      <c r="C435" s="1651">
        <v>2540</v>
      </c>
      <c r="D435" s="455"/>
      <c r="E435" s="455"/>
      <c r="F435" s="455"/>
      <c r="G435" s="455"/>
      <c r="H435" s="455"/>
      <c r="I435" s="455"/>
      <c r="J435" s="455"/>
      <c r="K435" s="493"/>
      <c r="L435" s="207">
        <f>SUM(D435:K435)</f>
        <v>0</v>
      </c>
    </row>
    <row r="436" spans="1:12" ht="12.75" thickBot="1" x14ac:dyDescent="0.25">
      <c r="A436" s="1039"/>
      <c r="B436" s="1036" t="s">
        <v>504</v>
      </c>
      <c r="C436" s="1048">
        <v>2500</v>
      </c>
      <c r="D436" s="497">
        <f>SUM(D434:D435)</f>
        <v>0</v>
      </c>
      <c r="E436" s="497">
        <f t="shared" ref="E436:L436" si="48">SUM(E434:E435)</f>
        <v>0</v>
      </c>
      <c r="F436" s="497">
        <f t="shared" si="48"/>
        <v>0</v>
      </c>
      <c r="G436" s="497">
        <f t="shared" si="48"/>
        <v>0</v>
      </c>
      <c r="H436" s="497">
        <f t="shared" si="48"/>
        <v>0</v>
      </c>
      <c r="I436" s="497">
        <f t="shared" si="48"/>
        <v>0</v>
      </c>
      <c r="J436" s="497">
        <f t="shared" si="48"/>
        <v>0</v>
      </c>
      <c r="K436" s="493"/>
      <c r="L436" s="497">
        <f t="shared" si="48"/>
        <v>0</v>
      </c>
    </row>
    <row r="437" spans="1:12" ht="12.75" thickTop="1" x14ac:dyDescent="0.2">
      <c r="A437" s="1039" t="s">
        <v>887</v>
      </c>
      <c r="B437" s="1044" t="s">
        <v>897</v>
      </c>
      <c r="C437" s="1652">
        <v>2900</v>
      </c>
      <c r="D437" s="455"/>
      <c r="E437" s="455"/>
      <c r="F437" s="455"/>
      <c r="G437" s="455"/>
      <c r="H437" s="455"/>
      <c r="I437" s="455"/>
      <c r="J437" s="455"/>
      <c r="K437" s="493"/>
      <c r="L437" s="314">
        <f>SUM(D437:K437)</f>
        <v>0</v>
      </c>
    </row>
    <row r="438" spans="1:12" ht="12.75" thickBot="1" x14ac:dyDescent="0.25">
      <c r="A438" s="1039"/>
      <c r="B438" s="1559" t="s">
        <v>506</v>
      </c>
      <c r="C438" s="1048">
        <v>2000</v>
      </c>
      <c r="D438" s="497">
        <f>SUM(D436,D437)</f>
        <v>0</v>
      </c>
      <c r="E438" s="497">
        <f t="shared" ref="E438:J438" si="49">SUM(E436,E437)</f>
        <v>0</v>
      </c>
      <c r="F438" s="497">
        <f t="shared" si="49"/>
        <v>0</v>
      </c>
      <c r="G438" s="497">
        <f t="shared" si="49"/>
        <v>0</v>
      </c>
      <c r="H438" s="497">
        <f t="shared" si="49"/>
        <v>0</v>
      </c>
      <c r="I438" s="497">
        <f t="shared" si="49"/>
        <v>0</v>
      </c>
      <c r="J438" s="497">
        <f t="shared" si="49"/>
        <v>0</v>
      </c>
      <c r="K438" s="493"/>
      <c r="L438" s="497">
        <f>SUM(L436,L437)</f>
        <v>0</v>
      </c>
    </row>
    <row r="439" spans="1:12" ht="12.75" thickTop="1" x14ac:dyDescent="0.2">
      <c r="A439" s="1039"/>
      <c r="B439" s="1049" t="s">
        <v>126</v>
      </c>
      <c r="C439" s="1050">
        <v>4000</v>
      </c>
      <c r="D439" s="499"/>
      <c r="E439" s="500"/>
      <c r="F439" s="500"/>
      <c r="G439" s="500"/>
      <c r="H439" s="500"/>
      <c r="I439" s="500"/>
      <c r="J439" s="500"/>
      <c r="K439" s="491"/>
      <c r="L439" s="501"/>
    </row>
    <row r="440" spans="1:12" ht="12" x14ac:dyDescent="0.2">
      <c r="A440" s="1039"/>
      <c r="B440" s="1045" t="s">
        <v>640</v>
      </c>
      <c r="C440" s="1046">
        <v>4110</v>
      </c>
      <c r="D440" s="493"/>
      <c r="E440" s="493"/>
      <c r="F440" s="493"/>
      <c r="G440" s="493"/>
      <c r="H440" s="493"/>
      <c r="I440" s="502"/>
      <c r="J440" s="503"/>
      <c r="K440" s="493"/>
      <c r="L440" s="504">
        <f>I440</f>
        <v>0</v>
      </c>
    </row>
    <row r="441" spans="1:12" ht="12" x14ac:dyDescent="0.2">
      <c r="A441" s="1039"/>
      <c r="B441" s="1045" t="s">
        <v>641</v>
      </c>
      <c r="C441" s="1046">
        <v>4120</v>
      </c>
      <c r="D441" s="493"/>
      <c r="E441" s="493"/>
      <c r="F441" s="493"/>
      <c r="G441" s="493"/>
      <c r="H441" s="493"/>
      <c r="I441" s="495"/>
      <c r="J441" s="503"/>
      <c r="K441" s="493"/>
      <c r="L441" s="505">
        <f>I441</f>
        <v>0</v>
      </c>
    </row>
    <row r="442" spans="1:12" ht="12" x14ac:dyDescent="0.2">
      <c r="A442" s="1039" t="s">
        <v>888</v>
      </c>
      <c r="B442" s="1047" t="s">
        <v>895</v>
      </c>
      <c r="C442" s="1653">
        <v>4190</v>
      </c>
      <c r="D442" s="493"/>
      <c r="E442" s="493"/>
      <c r="F442" s="493"/>
      <c r="G442" s="493"/>
      <c r="H442" s="493"/>
      <c r="I442" s="506"/>
      <c r="J442" s="1042"/>
      <c r="K442" s="493"/>
      <c r="L442" s="289">
        <f>I442</f>
        <v>0</v>
      </c>
    </row>
    <row r="443" spans="1:12" ht="12.75" thickBot="1" x14ac:dyDescent="0.25">
      <c r="A443" s="1039"/>
      <c r="B443" s="1036" t="s">
        <v>127</v>
      </c>
      <c r="C443" s="1048">
        <v>4000</v>
      </c>
      <c r="D443" s="493"/>
      <c r="E443" s="493"/>
      <c r="F443" s="493"/>
      <c r="G443" s="493"/>
      <c r="H443" s="493"/>
      <c r="I443" s="507">
        <f>SUM(I440:I442)</f>
        <v>0</v>
      </c>
      <c r="J443" s="1042"/>
      <c r="K443" s="493"/>
      <c r="L443" s="507">
        <f>SUM(L440:L442)</f>
        <v>0</v>
      </c>
    </row>
    <row r="444" spans="1:12" ht="12.75" thickTop="1" x14ac:dyDescent="0.2">
      <c r="A444" s="1039"/>
      <c r="B444" s="1043" t="s">
        <v>42</v>
      </c>
      <c r="C444" s="1035">
        <v>5000</v>
      </c>
      <c r="D444" s="490"/>
      <c r="E444" s="491"/>
      <c r="F444" s="491"/>
      <c r="G444" s="491"/>
      <c r="H444" s="491"/>
      <c r="I444" s="500"/>
      <c r="J444" s="491"/>
      <c r="K444" s="491"/>
      <c r="L444" s="501"/>
    </row>
    <row r="445" spans="1:12" ht="12" x14ac:dyDescent="0.2">
      <c r="A445" s="1039"/>
      <c r="B445" s="1044" t="s">
        <v>198</v>
      </c>
      <c r="C445" s="1650">
        <v>5100</v>
      </c>
      <c r="D445" s="493"/>
      <c r="E445" s="493"/>
      <c r="F445" s="493"/>
      <c r="G445" s="493"/>
      <c r="H445" s="493"/>
      <c r="I445" s="493"/>
      <c r="J445" s="493"/>
      <c r="K445" s="493"/>
      <c r="L445" s="493"/>
    </row>
    <row r="446" spans="1:12" ht="12" x14ac:dyDescent="0.2">
      <c r="A446" s="1039"/>
      <c r="B446" s="1040" t="s">
        <v>295</v>
      </c>
      <c r="C446" s="1651">
        <v>5110</v>
      </c>
      <c r="D446" s="493"/>
      <c r="E446" s="493"/>
      <c r="F446" s="493"/>
      <c r="G446" s="493"/>
      <c r="H446" s="493"/>
      <c r="I446" s="494"/>
      <c r="J446" s="493"/>
      <c r="K446" s="493"/>
      <c r="L446" s="207">
        <f>SUM(D446:K446)</f>
        <v>0</v>
      </c>
    </row>
    <row r="447" spans="1:12" ht="12" x14ac:dyDescent="0.2">
      <c r="A447" s="1039" t="s">
        <v>889</v>
      </c>
      <c r="B447" s="1041" t="s">
        <v>697</v>
      </c>
      <c r="C447" s="1654">
        <v>5150</v>
      </c>
      <c r="D447" s="493"/>
      <c r="E447" s="493"/>
      <c r="F447" s="493"/>
      <c r="G447" s="493"/>
      <c r="H447" s="493"/>
      <c r="I447" s="494"/>
      <c r="J447" s="493"/>
      <c r="K447" s="493"/>
      <c r="L447" s="207">
        <f>SUM(D447:K447)</f>
        <v>0</v>
      </c>
    </row>
    <row r="448" spans="1:12" ht="12.75" thickBot="1" x14ac:dyDescent="0.25">
      <c r="A448" s="1029"/>
      <c r="B448" s="1038" t="s">
        <v>39</v>
      </c>
      <c r="C448" s="1655">
        <v>5100</v>
      </c>
      <c r="D448" s="493"/>
      <c r="E448" s="493"/>
      <c r="F448" s="493"/>
      <c r="G448" s="493"/>
      <c r="H448" s="493"/>
      <c r="I448" s="507">
        <f>SUM(I446:I447)</f>
        <v>0</v>
      </c>
      <c r="J448" s="493"/>
      <c r="K448" s="493"/>
      <c r="L448" s="276">
        <f>SUM(L446:L447)</f>
        <v>0</v>
      </c>
    </row>
    <row r="449" spans="1:12" ht="12.75" thickTop="1" x14ac:dyDescent="0.2">
      <c r="A449" s="1029"/>
      <c r="B449" s="1037" t="s">
        <v>216</v>
      </c>
      <c r="C449" s="1647">
        <v>5200</v>
      </c>
      <c r="D449" s="493"/>
      <c r="E449" s="493"/>
      <c r="F449" s="493"/>
      <c r="G449" s="493"/>
      <c r="H449" s="493"/>
      <c r="I449" s="498"/>
      <c r="J449" s="493"/>
      <c r="K449" s="493"/>
      <c r="L449" s="420">
        <f>I449</f>
        <v>0</v>
      </c>
    </row>
    <row r="450" spans="1:12" ht="27" thickBot="1" x14ac:dyDescent="0.25">
      <c r="A450" s="1039" t="s">
        <v>3127</v>
      </c>
      <c r="B450" s="1612" t="s">
        <v>3122</v>
      </c>
      <c r="C450" s="1647">
        <v>5300</v>
      </c>
      <c r="D450" s="493"/>
      <c r="E450" s="493"/>
      <c r="F450" s="493"/>
      <c r="G450" s="493"/>
      <c r="H450" s="493"/>
      <c r="I450" s="495"/>
      <c r="J450" s="493"/>
      <c r="K450" s="493"/>
      <c r="L450" s="508">
        <f>I450</f>
        <v>0</v>
      </c>
    </row>
    <row r="451" spans="1:12" ht="13.5" thickTop="1" thickBot="1" x14ac:dyDescent="0.25">
      <c r="A451" s="1029"/>
      <c r="B451" s="1036" t="s">
        <v>176</v>
      </c>
      <c r="C451" s="1048">
        <v>5000</v>
      </c>
      <c r="D451" s="493"/>
      <c r="E451" s="493"/>
      <c r="F451" s="493"/>
      <c r="G451" s="493"/>
      <c r="H451" s="493"/>
      <c r="I451" s="496">
        <f>SUM(I448:I450)</f>
        <v>0</v>
      </c>
      <c r="J451" s="493"/>
      <c r="K451" s="493"/>
      <c r="L451" s="497">
        <f>SUM(L448:L450)</f>
        <v>0</v>
      </c>
    </row>
    <row r="452" spans="1:12" ht="13.5" thickTop="1" thickBot="1" x14ac:dyDescent="0.25">
      <c r="A452" s="1029"/>
      <c r="B452" s="1034" t="s">
        <v>380</v>
      </c>
      <c r="C452" s="1035">
        <v>6000</v>
      </c>
      <c r="D452" s="493"/>
      <c r="E452" s="493"/>
      <c r="F452" s="493"/>
      <c r="G452" s="493"/>
      <c r="H452" s="493"/>
      <c r="I452" s="509"/>
      <c r="J452" s="493"/>
      <c r="K452" s="493"/>
      <c r="L452" s="277">
        <f>SUM(D452:K452)</f>
        <v>0</v>
      </c>
    </row>
    <row r="453" spans="1:12" ht="13.5" thickTop="1" thickBot="1" x14ac:dyDescent="0.25">
      <c r="A453" s="1029"/>
      <c r="B453" s="1732" t="s">
        <v>439</v>
      </c>
      <c r="C453" s="1733"/>
      <c r="D453" s="507">
        <f>SUM(D438)</f>
        <v>0</v>
      </c>
      <c r="E453" s="507">
        <f>SUM(E438)</f>
        <v>0</v>
      </c>
      <c r="F453" s="507">
        <f>SUM(F438)</f>
        <v>0</v>
      </c>
      <c r="G453" s="507">
        <f>SUM(G438)</f>
        <v>0</v>
      </c>
      <c r="H453" s="507">
        <f>SUM(H438)</f>
        <v>0</v>
      </c>
      <c r="I453" s="507">
        <f>SUM(I438,I443,I451,I452)</f>
        <v>0</v>
      </c>
      <c r="J453" s="507">
        <f>SUM(J438)</f>
        <v>0</v>
      </c>
      <c r="K453" s="493"/>
      <c r="L453" s="507">
        <f>SUM(L438,L443,L451,L452)</f>
        <v>0</v>
      </c>
    </row>
    <row r="454" spans="1:12" ht="14.25" thickTop="1" thickBot="1" x14ac:dyDescent="0.25">
      <c r="A454" s="1029"/>
      <c r="B454" s="1734" t="s">
        <v>67</v>
      </c>
      <c r="C454" s="1735"/>
      <c r="D454" s="1605"/>
      <c r="E454" s="1606"/>
      <c r="F454" s="1607"/>
      <c r="G454" s="1607"/>
      <c r="H454" s="1607"/>
      <c r="I454" s="1607"/>
      <c r="J454" s="1607"/>
      <c r="K454" s="1608"/>
      <c r="L454" s="1030">
        <f>'EstRev 6-11'!L270-'EstExp 12-20'!L453</f>
        <v>0</v>
      </c>
    </row>
    <row r="455" spans="1:12" ht="9.75" thickTop="1" x14ac:dyDescent="0.15"/>
  </sheetData>
  <sheetProtection algorithmName="SHA-512" hashValue="xkEikThuCk+qFZ5OjlsCecYUjXdcN7ZjVFXisnyfi/K1tDaKa7j/G5SvCxhp3wT8cntb0yG9f+dMBJ57mG4cXQ==" saltValue="YN6GzMPovN4mkhcHhqF8Vg==" spinCount="100000" sheet="1" objects="1" scenarios="1"/>
  <mergeCells count="9">
    <mergeCell ref="B428:C428"/>
    <mergeCell ref="B429:C429"/>
    <mergeCell ref="B1:B2"/>
    <mergeCell ref="B454:C454"/>
    <mergeCell ref="B453:C453"/>
    <mergeCell ref="B292:C292"/>
    <mergeCell ref="B214:C214"/>
    <mergeCell ref="B179:C179"/>
    <mergeCell ref="B293:C293"/>
  </mergeCells>
  <phoneticPr fontId="6" type="noConversion"/>
  <dataValidations count="1">
    <dataValidation type="whole" allowBlank="1" showInputMessage="1" showErrorMessage="1" error="Please enter whole number.  Decimals are not allowed." sqref="I113 D38:K43 D46:K48 D51:K54 D57:K58 D61:K66 D69:K73 D75:K75 D77:K85 I87:I93 F103:I103 F95:I101 I115 I107:I111 D132:K132 D124:K130 I142 D134:K140 I152 I154 I161:I164 I167:I171 F175 I173:I175 I177 I146:I150 D184:K187 F199 I199 D189:K197 I203:I207 I213 I209:I211 E219:E232 E236:E241 E244:E246 E256:E257 E260:E266 E275 E277 E280:E281 E269:E273 I291 I285:I289 I308 D355:K357 F406:I412 D434:J435 I442 I446:I447 I449:I450 I452 F303:F306 D298:J299 D5:K33 D316:K343 D347:K352 D367:K368 D371:K377 D380:K384 D386:K386 D388:K396 I398:I404 F414:I414 I303:I306 K360:K362 D437:J437 D360:J364 I418:I425 I427 E249:E253" xr:uid="{00000000-0002-0000-0400-000000000000}">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rowBreaks count="5" manualBreakCount="5">
    <brk id="55" min="1" max="11" man="1"/>
    <brk id="104" min="1" max="11" man="1"/>
    <brk id="258" min="1" max="11" man="1"/>
    <brk id="365" min="1" max="11" man="1"/>
    <brk id="426" min="1"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2:H175"/>
  <sheetViews>
    <sheetView showGridLines="0" zoomScale="120" zoomScaleNormal="120" workbookViewId="0">
      <pane ySplit="6" topLeftCell="A138" activePane="bottomLeft" state="frozen"/>
      <selection pane="bottomLeft" activeCell="D151" sqref="D151"/>
    </sheetView>
  </sheetViews>
  <sheetFormatPr defaultColWidth="9.140625" defaultRowHeight="12.75" x14ac:dyDescent="0.2"/>
  <cols>
    <col min="1" max="1" width="6.85546875" style="188" bestFit="1" customWidth="1"/>
    <col min="2" max="2" width="64.85546875" style="188" hidden="1" customWidth="1"/>
    <col min="3" max="3" width="46.7109375" style="188" customWidth="1"/>
    <col min="4" max="4" width="49.5703125" style="188" customWidth="1"/>
    <col min="5" max="5" width="7.5703125" style="188" bestFit="1" customWidth="1"/>
    <col min="6" max="6" width="9.140625" style="188" customWidth="1"/>
    <col min="7" max="7" width="12.85546875" style="1368" hidden="1" customWidth="1"/>
    <col min="8" max="8" width="12.7109375" style="188" hidden="1" customWidth="1"/>
    <col min="9" max="16384" width="9.140625" style="188"/>
  </cols>
  <sheetData>
    <row r="2" spans="1:8" ht="13.5" thickBot="1" x14ac:dyDescent="0.25">
      <c r="A2" s="1348"/>
      <c r="B2" s="1355"/>
      <c r="C2" s="1356" t="s">
        <v>822</v>
      </c>
      <c r="D2" s="1355"/>
      <c r="E2" s="1355"/>
    </row>
    <row r="3" spans="1:8" ht="13.5" thickTop="1" x14ac:dyDescent="0.2">
      <c r="A3" s="1349"/>
      <c r="B3" s="1349"/>
      <c r="C3" s="1357"/>
    </row>
    <row r="4" spans="1:8" ht="25.5" customHeight="1" x14ac:dyDescent="0.2">
      <c r="C4" s="1746"/>
      <c r="D4" s="1746"/>
      <c r="E4" s="1746"/>
    </row>
    <row r="6" spans="1:8" x14ac:dyDescent="0.2">
      <c r="A6" s="1350"/>
      <c r="B6" s="1350"/>
      <c r="C6" s="1358" t="s">
        <v>868</v>
      </c>
      <c r="D6" s="1359" t="s">
        <v>819</v>
      </c>
      <c r="E6" s="1360" t="s">
        <v>820</v>
      </c>
      <c r="F6" s="1368"/>
      <c r="G6" s="1369" t="s">
        <v>821</v>
      </c>
      <c r="H6" s="189" t="s">
        <v>1757</v>
      </c>
    </row>
    <row r="7" spans="1:8" x14ac:dyDescent="0.2">
      <c r="A7" s="1351" t="s">
        <v>823</v>
      </c>
      <c r="B7" s="1361"/>
      <c r="C7" s="1362"/>
      <c r="D7" s="1363"/>
      <c r="E7" s="1364"/>
      <c r="F7" s="1368"/>
      <c r="G7" s="1368">
        <v>1</v>
      </c>
    </row>
    <row r="8" spans="1:8" x14ac:dyDescent="0.2">
      <c r="A8" s="1352" t="str">
        <f>IF(G8&gt;0,"10-"&amp;VLOOKUP('EstRev 6-11'!$A$11,'EstRev 6-11'!$A$5:$L$267,1,FALSE),"")</f>
        <v/>
      </c>
      <c r="B8" s="1353" t="str">
        <f>IF(G8&gt;0,VLOOKUP('EstRev 6-11'!$A$11,'EstRev 6-11'!$A$5:$L$267,2,FALSE),"")</f>
        <v/>
      </c>
      <c r="C8" s="1375" t="str">
        <f>IF(B8="","",LEFT(B8, LEN(B8)-21))</f>
        <v/>
      </c>
      <c r="D8" s="827"/>
      <c r="E8" s="1376" t="str">
        <f>IF(G8&gt;0,G8,"")</f>
        <v/>
      </c>
      <c r="G8" s="1368">
        <f>VLOOKUP('EstRev 6-11'!$A$11,'EstRev 6-11'!$A$5:$L$267,4,FALSE)</f>
        <v>0</v>
      </c>
      <c r="H8" s="188" t="b">
        <f>ISBLANK(D8)</f>
        <v>1</v>
      </c>
    </row>
    <row r="9" spans="1:8" x14ac:dyDescent="0.2">
      <c r="A9" s="1352" t="str">
        <f>IF(G9&gt;0,"20-"&amp;VLOOKUP('EstRev 6-11'!$A$11,'EstRev 6-11'!$A$5:$L$267,1,FALSE),"")</f>
        <v/>
      </c>
      <c r="B9" s="1353" t="str">
        <f>IF(G9&gt;0,VLOOKUP('EstRev 6-11'!$A$11,'EstRev 6-11'!$A$5:$L$267,2,FALSE),"")</f>
        <v/>
      </c>
      <c r="C9" s="1375" t="str">
        <f>IF(B9="","",LEFT(B9, LEN(B9)-21))</f>
        <v/>
      </c>
      <c r="D9" s="827"/>
      <c r="E9" s="1376" t="str">
        <f>IF(G9&gt;0,G9,"")</f>
        <v/>
      </c>
      <c r="G9" s="1368">
        <f>VLOOKUP('EstRev 6-11'!$A$11,'EstRev 6-11'!$A$5:$L$267,5,FALSE)</f>
        <v>0</v>
      </c>
      <c r="H9" s="188" t="b">
        <f t="shared" ref="H9:H72" si="0">ISBLANK(D9)</f>
        <v>1</v>
      </c>
    </row>
    <row r="10" spans="1:8" x14ac:dyDescent="0.2">
      <c r="A10" s="1353" t="str">
        <f>IF(G10&gt;0,"30-"&amp;VLOOKUP('EstRev 6-11'!$A$11,'EstRev 6-11'!$A$5:$L$267,1,FALSE),"")</f>
        <v/>
      </c>
      <c r="B10" s="1353" t="str">
        <f>IF(G10&gt;0,VLOOKUP('EstRev 6-11'!$A$11,'EstRev 6-11'!$A$5:$L$267,2,FALSE),"")</f>
        <v/>
      </c>
      <c r="C10" s="1375" t="str">
        <f t="shared" ref="C10:C73" si="1">IF(B10="","",LEFT(B10, LEN(B10)-21))</f>
        <v/>
      </c>
      <c r="D10" s="827"/>
      <c r="E10" s="1376" t="str">
        <f t="shared" ref="E10:E73" si="2">IF(G10&gt;0,G10,"")</f>
        <v/>
      </c>
      <c r="G10" s="1368">
        <f>VLOOKUP('EstRev 6-11'!$A$11,'EstRev 6-11'!$A$5:$L$267,6,FALSE)</f>
        <v>0</v>
      </c>
      <c r="H10" s="188" t="b">
        <f t="shared" si="0"/>
        <v>1</v>
      </c>
    </row>
    <row r="11" spans="1:8" x14ac:dyDescent="0.2">
      <c r="A11" s="1352" t="str">
        <f>IF(G11&gt;0,"40-"&amp;VLOOKUP('EstRev 6-11'!$A$11,'EstRev 6-11'!$A$5:$L$267,1,FALSE),"")</f>
        <v/>
      </c>
      <c r="B11" s="1353" t="str">
        <f>IF(G11&gt;0,VLOOKUP('EstRev 6-11'!$A$11,'EstRev 6-11'!$A$5:$L$267,2,FALSE),"")</f>
        <v/>
      </c>
      <c r="C11" s="1375" t="str">
        <f t="shared" si="1"/>
        <v/>
      </c>
      <c r="D11" s="827"/>
      <c r="E11" s="1376" t="str">
        <f t="shared" si="2"/>
        <v/>
      </c>
      <c r="G11" s="1368">
        <f>VLOOKUP('EstRev 6-11'!$A$11,'EstRev 6-11'!$A$5:$L$267,7,FALSE)</f>
        <v>0</v>
      </c>
      <c r="H11" s="188" t="b">
        <f t="shared" si="0"/>
        <v>1</v>
      </c>
    </row>
    <row r="12" spans="1:8" x14ac:dyDescent="0.2">
      <c r="A12" s="1352" t="str">
        <f>IF(G12&gt;0,"50-"&amp;VLOOKUP('EstRev 6-11'!$A$11,'EstRev 6-11'!$A$5:$L$267,1,FALSE),"")</f>
        <v/>
      </c>
      <c r="B12" s="1353" t="str">
        <f>IF(G12&gt;0,VLOOKUP('EstRev 6-11'!$A$11,'EstRev 6-11'!$A$5:$L$267,2,FALSE),"")</f>
        <v/>
      </c>
      <c r="C12" s="1375" t="str">
        <f t="shared" si="1"/>
        <v/>
      </c>
      <c r="D12" s="827"/>
      <c r="E12" s="1376" t="str">
        <f t="shared" si="2"/>
        <v/>
      </c>
      <c r="G12" s="1368">
        <f>VLOOKUP('EstRev 6-11'!$A$11,'EstRev 6-11'!$A$5:$L$267,8,FALSE)</f>
        <v>0</v>
      </c>
      <c r="H12" s="188" t="b">
        <f t="shared" si="0"/>
        <v>1</v>
      </c>
    </row>
    <row r="13" spans="1:8" x14ac:dyDescent="0.2">
      <c r="A13" s="1353" t="str">
        <f>IF(G13&gt;0,"60-"&amp;VLOOKUP('EstRev 6-11'!$A$11,'EstRev 6-11'!$A$5:$L$267,1,FALSE),"")</f>
        <v/>
      </c>
      <c r="B13" s="1353" t="str">
        <f>IF(G13&gt;0,VLOOKUP('EstRev 6-11'!$A$11,'EstRev 6-11'!$A$5:$L$267,2,FALSE),"")</f>
        <v/>
      </c>
      <c r="C13" s="1375" t="str">
        <f t="shared" si="1"/>
        <v/>
      </c>
      <c r="D13" s="827"/>
      <c r="E13" s="1376" t="str">
        <f t="shared" si="2"/>
        <v/>
      </c>
      <c r="G13" s="1368">
        <f>VLOOKUP('EstRev 6-11'!$A$11,'EstRev 6-11'!$A$5:$L$267,9,FALSE)</f>
        <v>0</v>
      </c>
      <c r="H13" s="188" t="b">
        <f t="shared" si="0"/>
        <v>1</v>
      </c>
    </row>
    <row r="14" spans="1:8" x14ac:dyDescent="0.2">
      <c r="A14" s="1352" t="str">
        <f>IF(G14&gt;0,"70-"&amp;VLOOKUP('EstRev 6-11'!$A$11,'EstRev 6-11'!$A$5:$L$267,1,FALSE),"")</f>
        <v/>
      </c>
      <c r="B14" s="1353" t="str">
        <f>IF(G14&gt;0,VLOOKUP('EstRev 6-11'!$A$11,'EstRev 6-11'!$A$5:$L$267,2,FALSE),"")</f>
        <v/>
      </c>
      <c r="C14" s="1375" t="str">
        <f t="shared" si="1"/>
        <v/>
      </c>
      <c r="D14" s="827"/>
      <c r="E14" s="1376" t="str">
        <f t="shared" si="2"/>
        <v/>
      </c>
      <c r="G14" s="1368">
        <f>VLOOKUP('EstRev 6-11'!$A$11,'EstRev 6-11'!$A$5:$L$267,10,FALSE)</f>
        <v>0</v>
      </c>
      <c r="H14" s="188" t="b">
        <f t="shared" si="0"/>
        <v>1</v>
      </c>
    </row>
    <row r="15" spans="1:8" x14ac:dyDescent="0.2">
      <c r="A15" s="1352" t="str">
        <f>IF(G15&gt;0,"80-"&amp;VLOOKUP('EstRev 6-11'!$A$11,'EstRev 6-11'!$A$5:$L$267,1,FALSE),"")</f>
        <v/>
      </c>
      <c r="B15" s="1353" t="str">
        <f>IF(G15&gt;0,VLOOKUP('EstRev 6-11'!$A$11,'EstRev 6-11'!$A$5:$L$267,2,FALSE),"")</f>
        <v/>
      </c>
      <c r="C15" s="1375" t="str">
        <f t="shared" si="1"/>
        <v/>
      </c>
      <c r="D15" s="827"/>
      <c r="E15" s="1376" t="str">
        <f t="shared" si="2"/>
        <v/>
      </c>
      <c r="G15" s="1368">
        <f>VLOOKUP('EstRev 6-11'!$A$11,'EstRev 6-11'!$A$5:$L$267,11,FALSE)</f>
        <v>0</v>
      </c>
      <c r="H15" s="188" t="b">
        <f t="shared" si="0"/>
        <v>1</v>
      </c>
    </row>
    <row r="16" spans="1:8" x14ac:dyDescent="0.2">
      <c r="A16" s="1352" t="str">
        <f>IF(G16&gt;0,"90-"&amp;VLOOKUP('EstRev 6-11'!$A$11,'EstRev 6-11'!$A$5:$L$267,1,FALSE),"")</f>
        <v/>
      </c>
      <c r="B16" s="1353" t="str">
        <f>IF(G16&gt;0,VLOOKUP('EstRev 6-11'!$A$11,'EstRev 6-11'!$A$5:$L$267,2,FALSE),"")</f>
        <v/>
      </c>
      <c r="C16" s="1375" t="str">
        <f t="shared" si="1"/>
        <v/>
      </c>
      <c r="D16" s="827"/>
      <c r="E16" s="1376" t="str">
        <f t="shared" si="2"/>
        <v/>
      </c>
      <c r="G16" s="1368">
        <f>VLOOKUP('EstRev 6-11'!$A$11,'EstRev 6-11'!$A$5:$L$267,12,FALSE)</f>
        <v>0</v>
      </c>
      <c r="H16" s="188" t="b">
        <f t="shared" si="0"/>
        <v>1</v>
      </c>
    </row>
    <row r="17" spans="1:8" x14ac:dyDescent="0.2">
      <c r="A17" s="1352" t="str">
        <f>IF(G17&gt;0,"10-"&amp;VLOOKUP('EstRev 6-11'!$A$17,'EstRev 6-11'!$A$5:$L$267,1,FALSE),"")</f>
        <v/>
      </c>
      <c r="B17" s="1353" t="str">
        <f>IF(G17&gt;0,VLOOKUP('EstRev 6-11'!$A$17,'EstRev 6-11'!$A$5:$L$267,2,FALSE),"")</f>
        <v/>
      </c>
      <c r="C17" s="1375" t="str">
        <f t="shared" si="1"/>
        <v/>
      </c>
      <c r="D17" s="827"/>
      <c r="E17" s="1376" t="str">
        <f t="shared" si="2"/>
        <v/>
      </c>
      <c r="G17" s="1368">
        <f>VLOOKUP('EstRev 6-11'!$A$17,'EstRev 6-11'!$A$5:$L$267,4,FALSE)</f>
        <v>0</v>
      </c>
      <c r="H17" s="188" t="b">
        <f t="shared" si="0"/>
        <v>1</v>
      </c>
    </row>
    <row r="18" spans="1:8" x14ac:dyDescent="0.2">
      <c r="A18" s="1352" t="str">
        <f>IF(G18&gt;0,"20-"&amp;VLOOKUP('EstRev 6-11'!$A$17,'EstRev 6-11'!$A$5:$L$267,1,FALSE),"")</f>
        <v/>
      </c>
      <c r="B18" s="1353" t="str">
        <f>IF(G18&gt;0,VLOOKUP('EstRev 6-11'!$A$17,'EstRev 6-11'!$A$5:$L$267,2,FALSE),"")</f>
        <v/>
      </c>
      <c r="C18" s="1375" t="str">
        <f t="shared" si="1"/>
        <v/>
      </c>
      <c r="D18" s="827"/>
      <c r="E18" s="1376" t="str">
        <f t="shared" si="2"/>
        <v/>
      </c>
      <c r="G18" s="1368">
        <f>VLOOKUP('EstRev 6-11'!$A$17,'EstRev 6-11'!$A$5:$L$267,5,FALSE)</f>
        <v>0</v>
      </c>
      <c r="H18" s="188" t="b">
        <f t="shared" si="0"/>
        <v>1</v>
      </c>
    </row>
    <row r="19" spans="1:8" x14ac:dyDescent="0.2">
      <c r="A19" s="1353" t="str">
        <f>IF(G19&gt;0,"30-"&amp;VLOOKUP('EstRev 6-11'!$A$17,'EstRev 6-11'!$A$5:$L$267,1,FALSE),"")</f>
        <v/>
      </c>
      <c r="B19" s="1353" t="str">
        <f>IF(G19&gt;0,VLOOKUP('EstRev 6-11'!$A$17,'EstRev 6-11'!$A$5:$L$267,2,FALSE),"")</f>
        <v/>
      </c>
      <c r="C19" s="1375" t="str">
        <f t="shared" si="1"/>
        <v/>
      </c>
      <c r="D19" s="827"/>
      <c r="E19" s="1376" t="str">
        <f t="shared" si="2"/>
        <v/>
      </c>
      <c r="G19" s="1368">
        <f>VLOOKUP('EstRev 6-11'!$A$17,'EstRev 6-11'!$A$5:$L$267,6,FALSE)</f>
        <v>0</v>
      </c>
      <c r="H19" s="188" t="b">
        <f t="shared" si="0"/>
        <v>1</v>
      </c>
    </row>
    <row r="20" spans="1:8" x14ac:dyDescent="0.2">
      <c r="A20" s="1352" t="str">
        <f>IF(G20&gt;0,"40-"&amp;VLOOKUP('EstRev 6-11'!$A$17,'EstRev 6-11'!$A$5:$L$267,1,FALSE),"")</f>
        <v/>
      </c>
      <c r="B20" s="1353" t="str">
        <f>IF(G20&gt;0,VLOOKUP('EstRev 6-11'!$A$17,'EstRev 6-11'!$A$5:$L$267,2,FALSE),"")</f>
        <v/>
      </c>
      <c r="C20" s="1375" t="str">
        <f t="shared" si="1"/>
        <v/>
      </c>
      <c r="D20" s="827"/>
      <c r="E20" s="1376" t="str">
        <f t="shared" si="2"/>
        <v/>
      </c>
      <c r="F20" s="1370"/>
      <c r="G20" s="1368">
        <f>VLOOKUP('EstRev 6-11'!$A$17,'EstRev 6-11'!$A$5:$L$267,7,FALSE)</f>
        <v>0</v>
      </c>
      <c r="H20" s="188" t="b">
        <f t="shared" si="0"/>
        <v>1</v>
      </c>
    </row>
    <row r="21" spans="1:8" x14ac:dyDescent="0.2">
      <c r="A21" s="1352" t="str">
        <f>IF(G21&gt;0,"50-"&amp;VLOOKUP('EstRev 6-11'!$A$17,'EstRev 6-11'!$A$5:$L$267,1,FALSE),"")</f>
        <v/>
      </c>
      <c r="B21" s="1353" t="str">
        <f>IF(G21&gt;0,VLOOKUP('EstRev 6-11'!$A$17,'EstRev 6-11'!$A$5:$L$267,2,FALSE),"")</f>
        <v/>
      </c>
      <c r="C21" s="1375" t="str">
        <f t="shared" si="1"/>
        <v/>
      </c>
      <c r="D21" s="827"/>
      <c r="E21" s="1376" t="str">
        <f t="shared" si="2"/>
        <v/>
      </c>
      <c r="G21" s="1368">
        <f>VLOOKUP('EstRev 6-11'!$A$17,'EstRev 6-11'!$A$5:$L$267,8,FALSE)</f>
        <v>0</v>
      </c>
      <c r="H21" s="188" t="b">
        <f t="shared" si="0"/>
        <v>1</v>
      </c>
    </row>
    <row r="22" spans="1:8" x14ac:dyDescent="0.2">
      <c r="A22" s="1353" t="str">
        <f>IF(G22&gt;0,"60-"&amp;VLOOKUP('EstRev 6-11'!$A$17,'EstRev 6-11'!$A$5:$L$267,1,FALSE),"")</f>
        <v/>
      </c>
      <c r="B22" s="1353" t="str">
        <f>IF(G22&gt;0,VLOOKUP('EstRev 6-11'!$A$17,'EstRev 6-11'!$A$5:$L$267,2,FALSE),"")</f>
        <v/>
      </c>
      <c r="C22" s="1375" t="str">
        <f t="shared" si="1"/>
        <v/>
      </c>
      <c r="D22" s="827"/>
      <c r="E22" s="1376" t="str">
        <f t="shared" si="2"/>
        <v/>
      </c>
      <c r="G22" s="1368">
        <f>VLOOKUP('EstRev 6-11'!$A$17,'EstRev 6-11'!$A$5:$L$267,9,FALSE)</f>
        <v>0</v>
      </c>
      <c r="H22" s="188" t="b">
        <f t="shared" si="0"/>
        <v>1</v>
      </c>
    </row>
    <row r="23" spans="1:8" x14ac:dyDescent="0.2">
      <c r="A23" s="1352" t="str">
        <f>IF(G23&gt;0,"70-"&amp;VLOOKUP('EstRev 6-11'!$A$17,'EstRev 6-11'!$A$5:$L$267,1,FALSE),"")</f>
        <v/>
      </c>
      <c r="B23" s="1353" t="str">
        <f>IF(G23&gt;0,VLOOKUP('EstRev 6-11'!$A$17,'EstRev 6-11'!$A$5:$L$267,2,FALSE),"")</f>
        <v/>
      </c>
      <c r="C23" s="1375" t="str">
        <f t="shared" si="1"/>
        <v/>
      </c>
      <c r="D23" s="827"/>
      <c r="E23" s="1376" t="str">
        <f t="shared" si="2"/>
        <v/>
      </c>
      <c r="G23" s="1368">
        <f>VLOOKUP('EstRev 6-11'!$A$17,'EstRev 6-11'!$A$5:$L$267,10,FALSE)</f>
        <v>0</v>
      </c>
      <c r="H23" s="188" t="b">
        <f t="shared" si="0"/>
        <v>1</v>
      </c>
    </row>
    <row r="24" spans="1:8" x14ac:dyDescent="0.2">
      <c r="A24" s="1352" t="str">
        <f>IF(G24&gt;0,"80-"&amp;VLOOKUP('EstRev 6-11'!$A$17,'EstRev 6-11'!$A$5:$L$267,1,FALSE),"")</f>
        <v/>
      </c>
      <c r="B24" s="1353" t="str">
        <f>IF(G24&gt;0,VLOOKUP('EstRev 6-11'!$A$17,'EstRev 6-11'!$A$5:$L$267,2,FALSE),"")</f>
        <v/>
      </c>
      <c r="C24" s="1375" t="str">
        <f t="shared" si="1"/>
        <v/>
      </c>
      <c r="D24" s="827"/>
      <c r="E24" s="1376" t="str">
        <f t="shared" si="2"/>
        <v/>
      </c>
      <c r="G24" s="1368">
        <f>VLOOKUP('EstRev 6-11'!$A$17,'EstRev 6-11'!$A$5:$L$267,11,FALSE)</f>
        <v>0</v>
      </c>
      <c r="H24" s="188" t="b">
        <f t="shared" si="0"/>
        <v>1</v>
      </c>
    </row>
    <row r="25" spans="1:8" x14ac:dyDescent="0.2">
      <c r="A25" s="1352" t="str">
        <f>IF(G25&gt;0,"90-"&amp;VLOOKUP('EstRev 6-11'!$A$17,'EstRev 6-11'!$A$5:$L$267,1,FALSE),"")</f>
        <v/>
      </c>
      <c r="B25" s="1353" t="str">
        <f>IF(G25&gt;0,VLOOKUP('EstRev 6-11'!$A$17,'EstRev 6-11'!$A$5:$L$267,2,FALSE),"")</f>
        <v/>
      </c>
      <c r="C25" s="1375" t="str">
        <f t="shared" si="1"/>
        <v/>
      </c>
      <c r="D25" s="827"/>
      <c r="E25" s="1376" t="str">
        <f t="shared" si="2"/>
        <v/>
      </c>
      <c r="G25" s="1368">
        <f>VLOOKUP('EstRev 6-11'!$A$17,'EstRev 6-11'!$A$5:$L$267,12,FALSE)</f>
        <v>0</v>
      </c>
      <c r="H25" s="188" t="b">
        <f t="shared" si="0"/>
        <v>1</v>
      </c>
    </row>
    <row r="26" spans="1:8" x14ac:dyDescent="0.2">
      <c r="A26" s="1352" t="str">
        <f>IF(G26&gt;0,"10-"&amp;VLOOKUP('EstRev 6-11'!$A$72,'EstRev 6-11'!$A$5:$L$267,1,FALSE),"")</f>
        <v>10-1614</v>
      </c>
      <c r="B26" s="1353" t="str">
        <f>IF(G26&gt;0,VLOOKUP('EstRev 6-11'!$A$72,'EstRev 6-11'!$A$5:$L$267,2,FALSE),"")</f>
        <v>Sales to Pupils - Other (Describe &amp; Itemize)</v>
      </c>
      <c r="C26" s="1375" t="str">
        <f t="shared" si="1"/>
        <v>Sales to Pupils - Other</v>
      </c>
      <c r="D26" s="827" t="s">
        <v>3302</v>
      </c>
      <c r="E26" s="1376">
        <f t="shared" si="2"/>
        <v>33000</v>
      </c>
      <c r="G26" s="1368">
        <f>VLOOKUP('EstRev 6-11'!$A$72,'EstRev 6-11'!$A$5:$L$267,4,FALSE)</f>
        <v>33000</v>
      </c>
      <c r="H26" s="188" t="b">
        <f t="shared" si="0"/>
        <v>0</v>
      </c>
    </row>
    <row r="27" spans="1:8" x14ac:dyDescent="0.2">
      <c r="A27" s="1352" t="str">
        <f>IF(G27&gt;0,"10-"&amp;VLOOKUP('EstRev 6-11'!$A$74,'EstRev 6-11'!$A$5:$L$267,1,FALSE),"")</f>
        <v>10-1690</v>
      </c>
      <c r="B27" s="1353" t="str">
        <f>IF(G27&gt;0,VLOOKUP('EstRev 6-11'!$A$74,'EstRev 6-11'!$A$5:$L$267,2,FALSE),"")</f>
        <v>Other Food Service (Describe &amp; Itemize)</v>
      </c>
      <c r="C27" s="1375" t="str">
        <f t="shared" si="1"/>
        <v>Other Food Service</v>
      </c>
      <c r="D27" s="827" t="s">
        <v>3303</v>
      </c>
      <c r="E27" s="1376">
        <f t="shared" si="2"/>
        <v>56000</v>
      </c>
      <c r="G27" s="1368">
        <f>VLOOKUP('EstRev 6-11'!$A$74,'EstRev 6-11'!$A$5:$L$267,4,FALSE)</f>
        <v>56000</v>
      </c>
      <c r="H27" s="188" t="b">
        <f t="shared" si="0"/>
        <v>0</v>
      </c>
    </row>
    <row r="28" spans="1:8" x14ac:dyDescent="0.2">
      <c r="A28" s="1352" t="str">
        <f>IF(G28&gt;0,"10-"&amp;VLOOKUP('EstRev 6-11'!$A$81,'EstRev 6-11'!$A$5:$L$267,1,FALSE),"")</f>
        <v/>
      </c>
      <c r="B28" s="1353" t="str">
        <f>IF(G28&gt;0,VLOOKUP('EstRev 6-11'!$A$81,'EstRev 6-11'!$A$5:$L$267,2,FALSE),"")</f>
        <v/>
      </c>
      <c r="C28" s="1375" t="str">
        <f t="shared" si="1"/>
        <v/>
      </c>
      <c r="D28" s="827"/>
      <c r="E28" s="1376" t="str">
        <f t="shared" si="2"/>
        <v/>
      </c>
      <c r="G28" s="1368">
        <f>VLOOKUP('EstRev 6-11'!$A$81,'EstRev 6-11'!$A$5:$L$267,4,FALSE)</f>
        <v>0</v>
      </c>
      <c r="H28" s="188" t="b">
        <f t="shared" si="0"/>
        <v>1</v>
      </c>
    </row>
    <row r="29" spans="1:8" x14ac:dyDescent="0.2">
      <c r="A29" s="1352" t="str">
        <f>IF(G29&gt;0,"20-"&amp;VLOOKUP('EstRev 6-11'!$A$81,'EstRev 6-11'!$A$5:$L$267,1,FALSE),"")</f>
        <v/>
      </c>
      <c r="B29" s="1353" t="str">
        <f>IF(G29&gt;0,VLOOKUP('EstRev 6-11'!$A$81,'EstRev 6-11'!$A$5:$L$267,2,FALSE),"")</f>
        <v/>
      </c>
      <c r="C29" s="1375" t="str">
        <f t="shared" si="1"/>
        <v/>
      </c>
      <c r="D29" s="827"/>
      <c r="E29" s="1376" t="str">
        <f t="shared" si="2"/>
        <v/>
      </c>
      <c r="G29" s="1368">
        <f>VLOOKUP('EstRev 6-11'!$A$81,'EstRev 6-11'!$A$5:$L$267,5,FALSE)</f>
        <v>0</v>
      </c>
      <c r="H29" s="188" t="b">
        <f t="shared" si="0"/>
        <v>1</v>
      </c>
    </row>
    <row r="30" spans="1:8" x14ac:dyDescent="0.2">
      <c r="A30" s="1352" t="str">
        <f>IF(G30&gt;0,"10-"&amp;VLOOKUP('EstRev 6-11'!$A$89,'EstRev 6-11'!$A$5:$L$267,1,FALSE),"")</f>
        <v/>
      </c>
      <c r="B30" s="1353" t="str">
        <f>IF(G30&gt;0,VLOOKUP('EstRev 6-11'!$A$89,'EstRev 6-11'!$A$5:$L$267,2,FALSE),"")</f>
        <v/>
      </c>
      <c r="C30" s="1375" t="str">
        <f t="shared" si="1"/>
        <v/>
      </c>
      <c r="D30" s="827"/>
      <c r="E30" s="1376" t="str">
        <f t="shared" si="2"/>
        <v/>
      </c>
      <c r="G30" s="1368">
        <f>VLOOKUP('EstRev 6-11'!$A$89,'EstRev 6-11'!$A$5:$L$267,4,FALSE)</f>
        <v>0</v>
      </c>
      <c r="H30" s="188" t="b">
        <f t="shared" si="0"/>
        <v>1</v>
      </c>
    </row>
    <row r="31" spans="1:8" x14ac:dyDescent="0.2">
      <c r="A31" s="1352" t="str">
        <f>IF(G31&gt;0,"10-"&amp;VLOOKUP('EstRev 6-11'!$A$93,'EstRev 6-11'!$A$5:$L$267,1,FALSE),"")</f>
        <v/>
      </c>
      <c r="B31" s="1353" t="str">
        <f>IF(G31&gt;0,VLOOKUP('EstRev 6-11'!$A$93,'EstRev 6-11'!$A$5:$L$267,2,FALSE),"")</f>
        <v/>
      </c>
      <c r="C31" s="1375" t="str">
        <f t="shared" si="1"/>
        <v/>
      </c>
      <c r="D31" s="827"/>
      <c r="E31" s="1376" t="str">
        <f t="shared" si="2"/>
        <v/>
      </c>
      <c r="G31" s="1368">
        <f>VLOOKUP('EstRev 6-11'!$A$93,'EstRev 6-11'!$A$5:$L$267,4,FALSE)</f>
        <v>0</v>
      </c>
      <c r="H31" s="188" t="b">
        <f t="shared" si="0"/>
        <v>1</v>
      </c>
    </row>
    <row r="32" spans="1:8" x14ac:dyDescent="0.2">
      <c r="A32" s="1352" t="str">
        <f>IF(G32&gt;0,"10-"&amp;VLOOKUP('EstRev 6-11'!$A$94,'EstRev 6-11'!$A$5:$L$267,1,FALSE),"")</f>
        <v/>
      </c>
      <c r="B32" s="1353" t="str">
        <f>IF(G32&gt;0,VLOOKUP('EstRev 6-11'!$A$94,'EstRev 6-11'!$A$5:$L$267,2,FALSE),"")</f>
        <v/>
      </c>
      <c r="C32" s="1375" t="str">
        <f t="shared" si="1"/>
        <v/>
      </c>
      <c r="D32" s="827"/>
      <c r="E32" s="1376" t="str">
        <f t="shared" si="2"/>
        <v/>
      </c>
      <c r="G32" s="1368">
        <f>VLOOKUP('EstRev 6-11'!$A$94,'EstRev 6-11'!$A$5:$L$267,4,FALSE)</f>
        <v>0</v>
      </c>
      <c r="H32" s="188" t="b">
        <f t="shared" si="0"/>
        <v>1</v>
      </c>
    </row>
    <row r="33" spans="1:8" x14ac:dyDescent="0.2">
      <c r="A33" s="1352" t="str">
        <f>IF(G33&gt;0,"10-"&amp;VLOOKUP('EstRev 6-11'!$A$108,'EstRev 6-11'!$A$5:$L$267,1,FALSE),"")</f>
        <v/>
      </c>
      <c r="B33" s="1353" t="str">
        <f>IF(G33&gt;0,VLOOKUP('EstRev 6-11'!$A$108,'EstRev 6-11'!$A$5:$L$267,2,FALSE),"")</f>
        <v/>
      </c>
      <c r="C33" s="1375" t="str">
        <f t="shared" si="1"/>
        <v/>
      </c>
      <c r="D33" s="827"/>
      <c r="E33" s="1376" t="str">
        <f t="shared" si="2"/>
        <v/>
      </c>
      <c r="G33" s="1368">
        <f>VLOOKUP('EstRev 6-11'!$A$108,'EstRev 6-11'!$A$5:$L$267,4,FALSE)</f>
        <v>0</v>
      </c>
      <c r="H33" s="188" t="b">
        <f t="shared" si="0"/>
        <v>1</v>
      </c>
    </row>
    <row r="34" spans="1:8" x14ac:dyDescent="0.2">
      <c r="A34" s="1352" t="str">
        <f>IF(G34&gt;0,"20-"&amp;VLOOKUP('EstRev 6-11'!$A$108,'EstRev 6-11'!$A$5:$L$267,1,FALSE),"")</f>
        <v/>
      </c>
      <c r="B34" s="1353" t="str">
        <f>IF(G34&gt;0,VLOOKUP('EstRev 6-11'!$A$108,'EstRev 6-11'!$A$5:$L$267,2,FALSE),"")</f>
        <v/>
      </c>
      <c r="C34" s="1375" t="str">
        <f t="shared" si="1"/>
        <v/>
      </c>
      <c r="D34" s="827"/>
      <c r="E34" s="1376" t="str">
        <f t="shared" si="2"/>
        <v/>
      </c>
      <c r="G34" s="1368">
        <f>VLOOKUP('EstRev 6-11'!$A$108,'EstRev 6-11'!$A$5:$L$267,5,FALSE)</f>
        <v>0</v>
      </c>
      <c r="H34" s="188" t="b">
        <f t="shared" si="0"/>
        <v>1</v>
      </c>
    </row>
    <row r="35" spans="1:8" x14ac:dyDescent="0.2">
      <c r="A35" s="1353" t="str">
        <f>IF(G35&gt;0,"30-"&amp;VLOOKUP('EstRev 6-11'!$A$108,'EstRev 6-11'!$A$5:$L$267,1,FALSE),"")</f>
        <v/>
      </c>
      <c r="B35" s="1353" t="str">
        <f>IF(G35&gt;0,VLOOKUP('EstRev 6-11'!$A$108,'EstRev 6-11'!$A$5:$L$267,2,FALSE),"")</f>
        <v/>
      </c>
      <c r="C35" s="1375" t="str">
        <f t="shared" si="1"/>
        <v/>
      </c>
      <c r="D35" s="827"/>
      <c r="E35" s="1376" t="str">
        <f t="shared" si="2"/>
        <v/>
      </c>
      <c r="G35" s="1368">
        <f>VLOOKUP('EstRev 6-11'!$A$108,'EstRev 6-11'!$A$5:$L$267,6,FALSE)</f>
        <v>0</v>
      </c>
      <c r="H35" s="188" t="b">
        <f t="shared" si="0"/>
        <v>1</v>
      </c>
    </row>
    <row r="36" spans="1:8" x14ac:dyDescent="0.2">
      <c r="A36" s="1352" t="str">
        <f>IF(G36&gt;0,"40-"&amp;VLOOKUP('EstRev 6-11'!$A$108,'EstRev 6-11'!$A$5:$L$267,1,FALSE),"")</f>
        <v/>
      </c>
      <c r="B36" s="1353" t="str">
        <f>IF(G36&gt;0,VLOOKUP('EstRev 6-11'!$A$108,'EstRev 6-11'!$A$5:$L$267,2,FALSE),"")</f>
        <v/>
      </c>
      <c r="C36" s="1375" t="str">
        <f t="shared" si="1"/>
        <v/>
      </c>
      <c r="D36" s="827"/>
      <c r="E36" s="1376" t="str">
        <f t="shared" si="2"/>
        <v/>
      </c>
      <c r="G36" s="1368">
        <f>VLOOKUP('EstRev 6-11'!$A$108,'EstRev 6-11'!$A$5:$L$267,7,FALSE)</f>
        <v>0</v>
      </c>
      <c r="H36" s="188" t="b">
        <f t="shared" si="0"/>
        <v>1</v>
      </c>
    </row>
    <row r="37" spans="1:8" x14ac:dyDescent="0.2">
      <c r="A37" s="1352" t="str">
        <f>IF(G37&gt;0,"50-"&amp;VLOOKUP('EstRev 6-11'!$A$108,'EstRev 6-11'!$A$5:$L$267,1,FALSE),"")</f>
        <v/>
      </c>
      <c r="B37" s="1353" t="str">
        <f>IF(G37&gt;0,VLOOKUP('EstRev 6-11'!$A$108,'EstRev 6-11'!$A$5:$L$267,2,FALSE),"")</f>
        <v/>
      </c>
      <c r="C37" s="1375" t="str">
        <f t="shared" si="1"/>
        <v/>
      </c>
      <c r="D37" s="827"/>
      <c r="E37" s="1376" t="str">
        <f t="shared" si="2"/>
        <v/>
      </c>
      <c r="G37" s="1368">
        <f>VLOOKUP('EstRev 6-11'!$A$108,'EstRev 6-11'!$A$5:$L$267,8,FALSE)</f>
        <v>0</v>
      </c>
      <c r="H37" s="188" t="b">
        <f t="shared" si="0"/>
        <v>1</v>
      </c>
    </row>
    <row r="38" spans="1:8" x14ac:dyDescent="0.2">
      <c r="A38" s="1353" t="str">
        <f>IF(G38&gt;0,"60-"&amp;VLOOKUP('EstRev 6-11'!$A$108,'EstRev 6-11'!$A$5:$L$267,1,FALSE),"")</f>
        <v/>
      </c>
      <c r="B38" s="1353" t="str">
        <f>IF(G38&gt;0,VLOOKUP('EstRev 6-11'!$A$108,'EstRev 6-11'!$A$5:$L$267,2,FALSE),"")</f>
        <v/>
      </c>
      <c r="C38" s="1375" t="str">
        <f t="shared" si="1"/>
        <v/>
      </c>
      <c r="D38" s="827"/>
      <c r="E38" s="1376" t="str">
        <f t="shared" si="2"/>
        <v/>
      </c>
      <c r="G38" s="1368">
        <f>VLOOKUP('EstRev 6-11'!$A$108,'EstRev 6-11'!$A$5:$L$267,9,FALSE)</f>
        <v>0</v>
      </c>
      <c r="H38" s="188" t="b">
        <f t="shared" si="0"/>
        <v>1</v>
      </c>
    </row>
    <row r="39" spans="1:8" x14ac:dyDescent="0.2">
      <c r="A39" s="1352" t="str">
        <f>IF(G39&gt;0,"80-"&amp;VLOOKUP('EstRev 6-11'!$A$108,'EstRev 6-11'!$A$5:$L$267,1,FALSE),"")</f>
        <v/>
      </c>
      <c r="B39" s="1353" t="str">
        <f>IF(G39&gt;0,VLOOKUP('EstRev 6-11'!$A$108,'EstRev 6-11'!$A$5:$L$267,2,FALSE),"")</f>
        <v/>
      </c>
      <c r="C39" s="1375" t="str">
        <f t="shared" si="1"/>
        <v/>
      </c>
      <c r="D39" s="827"/>
      <c r="E39" s="1376" t="str">
        <f>IF(G39&gt;0,G39,"")</f>
        <v/>
      </c>
      <c r="G39" s="1368">
        <f>VLOOKUP('EstRev 6-11'!$A$108,'EstRev 6-11'!$A$5:$L$267,11,FALSE)</f>
        <v>0</v>
      </c>
      <c r="H39" s="188" t="b">
        <f t="shared" si="0"/>
        <v>1</v>
      </c>
    </row>
    <row r="40" spans="1:8" x14ac:dyDescent="0.2">
      <c r="A40" s="1352" t="str">
        <f>IF(G40&gt;0,"90-"&amp;VLOOKUP('EstRev 6-11'!$A$108,'EstRev 6-11'!$A$5:$L$267,1,FALSE),"")</f>
        <v/>
      </c>
      <c r="B40" s="1353" t="str">
        <f>IF(G40&gt;0,VLOOKUP('EstRev 6-11'!$A$108,'EstRev 6-11'!$A$5:$L$267,2,FALSE),"")</f>
        <v/>
      </c>
      <c r="C40" s="1375" t="str">
        <f t="shared" si="1"/>
        <v/>
      </c>
      <c r="D40" s="827"/>
      <c r="E40" s="1376" t="str">
        <f>IF(G40&gt;0,G40,"")</f>
        <v/>
      </c>
      <c r="G40" s="1368">
        <f>VLOOKUP('EstRev 6-11'!$A$108,'EstRev 6-11'!$A$5:$L$267,12,FALSE)</f>
        <v>0</v>
      </c>
      <c r="H40" s="188" t="b">
        <f t="shared" si="0"/>
        <v>1</v>
      </c>
    </row>
    <row r="41" spans="1:8" x14ac:dyDescent="0.2">
      <c r="A41" s="1352" t="str">
        <f>IF(G41&gt;0,"10-"&amp;VLOOKUP('EstRev 6-11'!$A$109,'EstRev 6-11'!$A$5:$L$267,1,FALSE),"")</f>
        <v>10-1999</v>
      </c>
      <c r="B41" s="1353" t="str">
        <f>IF(G41&gt;0,VLOOKUP('EstRev 6-11'!$A$109,'EstRev 6-11'!$A$5:$L$267,2,FALSE),"")</f>
        <v>Other Local Revenues (Describe &amp; Itemize)</v>
      </c>
      <c r="C41" s="1375" t="str">
        <f t="shared" si="1"/>
        <v>Other Local Revenues</v>
      </c>
      <c r="D41" s="827" t="s">
        <v>3304</v>
      </c>
      <c r="E41" s="1376">
        <f t="shared" si="2"/>
        <v>460500</v>
      </c>
      <c r="G41" s="1368">
        <f>VLOOKUP('EstRev 6-11'!$A$109,'EstRev 6-11'!$A$5:$L$267,4,FALSE)</f>
        <v>460500</v>
      </c>
      <c r="H41" s="188" t="b">
        <f t="shared" si="0"/>
        <v>0</v>
      </c>
    </row>
    <row r="42" spans="1:8" x14ac:dyDescent="0.2">
      <c r="A42" s="1352" t="str">
        <f>IF(G42&gt;0,"20-"&amp;VLOOKUP('EstRev 6-11'!$A$109,'EstRev 6-11'!$A$5:$L$267,1,FALSE),"")</f>
        <v>20-1999</v>
      </c>
      <c r="B42" s="1353" t="str">
        <f>IF(G42&gt;0,VLOOKUP('EstRev 6-11'!$A$109,'EstRev 6-11'!$A$5:$L$267,2,FALSE),"")</f>
        <v>Other Local Revenues (Describe &amp; Itemize)</v>
      </c>
      <c r="C42" s="1375" t="str">
        <f t="shared" si="1"/>
        <v>Other Local Revenues</v>
      </c>
      <c r="D42" s="827" t="s">
        <v>3305</v>
      </c>
      <c r="E42" s="1376">
        <f t="shared" si="2"/>
        <v>25000</v>
      </c>
      <c r="G42" s="1368">
        <f>VLOOKUP('EstRev 6-11'!$A$109,'EstRev 6-11'!$A$5:$L$267,5,FALSE)</f>
        <v>25000</v>
      </c>
      <c r="H42" s="188" t="b">
        <f t="shared" si="0"/>
        <v>0</v>
      </c>
    </row>
    <row r="43" spans="1:8" x14ac:dyDescent="0.2">
      <c r="A43" s="1353" t="str">
        <f>IF(G43&gt;0,"30-"&amp;VLOOKUP('EstRev 6-11'!$A$109,'EstRev 6-11'!$A$5:$L$267,1,FALSE),"")</f>
        <v>30-1999</v>
      </c>
      <c r="B43" s="1353" t="str">
        <f>IF(G43&gt;0,VLOOKUP('EstRev 6-11'!$A$109,'EstRev 6-11'!$A$5:$L$267,2,FALSE),"")</f>
        <v>Other Local Revenues (Describe &amp; Itemize)</v>
      </c>
      <c r="C43" s="1375" t="str">
        <f t="shared" si="1"/>
        <v>Other Local Revenues</v>
      </c>
      <c r="D43" s="827" t="s">
        <v>3306</v>
      </c>
      <c r="E43" s="1376">
        <f t="shared" si="2"/>
        <v>600000</v>
      </c>
      <c r="G43" s="1368">
        <f>VLOOKUP('EstRev 6-11'!$A$109,'EstRev 6-11'!$A$5:$L$267,6,FALSE)</f>
        <v>600000</v>
      </c>
      <c r="H43" s="188" t="b">
        <f t="shared" si="0"/>
        <v>0</v>
      </c>
    </row>
    <row r="44" spans="1:8" x14ac:dyDescent="0.2">
      <c r="A44" s="1352" t="str">
        <f>IF(G44&gt;0,"40-"&amp;VLOOKUP('EstRev 6-11'!$A$109,'EstRev 6-11'!$A$5:$L$267,1,FALSE),"")</f>
        <v/>
      </c>
      <c r="B44" s="1353" t="str">
        <f>IF(G44&gt;0,VLOOKUP('EstRev 6-11'!$A$109,'EstRev 6-11'!$A$5:$L$267,2,FALSE),"")</f>
        <v/>
      </c>
      <c r="C44" s="1375" t="str">
        <f t="shared" si="1"/>
        <v/>
      </c>
      <c r="D44" s="827"/>
      <c r="E44" s="1376" t="str">
        <f t="shared" si="2"/>
        <v/>
      </c>
      <c r="G44" s="1368">
        <f>VLOOKUP('EstRev 6-11'!$A$109,'EstRev 6-11'!$A$5:$L$267,7,FALSE)</f>
        <v>0</v>
      </c>
      <c r="H44" s="188" t="b">
        <f t="shared" si="0"/>
        <v>1</v>
      </c>
    </row>
    <row r="45" spans="1:8" x14ac:dyDescent="0.2">
      <c r="A45" s="1352" t="str">
        <f>IF(G45&gt;0,"50-"&amp;VLOOKUP('EstRev 6-11'!$A$109,'EstRev 6-11'!$A$5:$L$267,1,FALSE),"")</f>
        <v/>
      </c>
      <c r="B45" s="1353" t="str">
        <f>IF(G45&gt;0,VLOOKUP('EstRev 6-11'!$A$109,'EstRev 6-11'!$A$5:$L$267,2,FALSE),"")</f>
        <v/>
      </c>
      <c r="C45" s="1375" t="str">
        <f t="shared" si="1"/>
        <v/>
      </c>
      <c r="D45" s="827"/>
      <c r="E45" s="1376" t="str">
        <f t="shared" si="2"/>
        <v/>
      </c>
      <c r="G45" s="1368">
        <f>VLOOKUP('EstRev 6-11'!$A$109,'EstRev 6-11'!$A$5:$L$267,8,FALSE)</f>
        <v>0</v>
      </c>
      <c r="H45" s="188" t="b">
        <f t="shared" si="0"/>
        <v>1</v>
      </c>
    </row>
    <row r="46" spans="1:8" x14ac:dyDescent="0.2">
      <c r="A46" s="1353" t="str">
        <f>IF(G46&gt;0,"60-"&amp;VLOOKUP('EstRev 6-11'!$A$109,'EstRev 6-11'!$A$5:$L$267,1,FALSE),"")</f>
        <v>60-1999</v>
      </c>
      <c r="B46" s="1353" t="str">
        <f>IF(G46&gt;0,VLOOKUP('EstRev 6-11'!$A$109,'EstRev 6-11'!$A$5:$L$267,2,FALSE),"")</f>
        <v>Other Local Revenues (Describe &amp; Itemize)</v>
      </c>
      <c r="C46" s="1375" t="str">
        <f t="shared" si="1"/>
        <v>Other Local Revenues</v>
      </c>
      <c r="D46" s="827" t="s">
        <v>3307</v>
      </c>
      <c r="E46" s="1376">
        <f t="shared" si="2"/>
        <v>1400000</v>
      </c>
      <c r="G46" s="1368">
        <f>VLOOKUP('EstRev 6-11'!$A$109,'EstRev 6-11'!$A$5:$L$267,9,FALSE)</f>
        <v>1400000</v>
      </c>
      <c r="H46" s="188" t="b">
        <f t="shared" si="0"/>
        <v>0</v>
      </c>
    </row>
    <row r="47" spans="1:8" x14ac:dyDescent="0.2">
      <c r="A47" s="1352" t="str">
        <f>IF(G47&gt;0,"70-"&amp;VLOOKUP('EstRev 6-11'!$A$109,'EstRev 6-11'!$A$5:$L$267,1,FALSE),"")</f>
        <v/>
      </c>
      <c r="B47" s="1353" t="str">
        <f>IF(G47&gt;0,VLOOKUP('EstRev 6-11'!$A$109,'EstRev 6-11'!$A$5:$L$267,2,FALSE),"")</f>
        <v/>
      </c>
      <c r="C47" s="1375" t="str">
        <f t="shared" si="1"/>
        <v/>
      </c>
      <c r="D47" s="827"/>
      <c r="E47" s="1376" t="str">
        <f t="shared" si="2"/>
        <v/>
      </c>
      <c r="G47" s="1368">
        <f>VLOOKUP('EstRev 6-11'!$A$109,'EstRev 6-11'!$A$5:$L$267,10,FALSE)</f>
        <v>0</v>
      </c>
      <c r="H47" s="188" t="b">
        <f t="shared" si="0"/>
        <v>1</v>
      </c>
    </row>
    <row r="48" spans="1:8" x14ac:dyDescent="0.2">
      <c r="A48" s="1352" t="str">
        <f>IF(G48&gt;0,"80-"&amp;VLOOKUP('EstRev 6-11'!$A$109,'EstRev 6-11'!$A$5:$L$267,1,FALSE),"")</f>
        <v/>
      </c>
      <c r="B48" s="1353" t="str">
        <f>IF(G48&gt;0,VLOOKUP('EstRev 6-11'!$A$109,'EstRev 6-11'!$A$5:$L$267,2,FALSE),"")</f>
        <v/>
      </c>
      <c r="C48" s="1375" t="str">
        <f t="shared" si="1"/>
        <v/>
      </c>
      <c r="D48" s="827"/>
      <c r="E48" s="1376" t="str">
        <f t="shared" si="2"/>
        <v/>
      </c>
      <c r="G48" s="1368">
        <f>VLOOKUP('EstRev 6-11'!$A$109,'EstRev 6-11'!$A$5:$L$267,11,FALSE)</f>
        <v>0</v>
      </c>
      <c r="H48" s="188" t="b">
        <f t="shared" si="0"/>
        <v>1</v>
      </c>
    </row>
    <row r="49" spans="1:8" x14ac:dyDescent="0.2">
      <c r="A49" s="1352" t="str">
        <f>IF(G49&gt;0,"90-"&amp;VLOOKUP('EstRev 6-11'!$A$109,'EstRev 6-11'!$A$5:$L$267,1,FALSE),"")</f>
        <v/>
      </c>
      <c r="B49" s="1353" t="str">
        <f>IF(G49&gt;0,VLOOKUP('EstRev 6-11'!$A$109,'EstRev 6-11'!$A$5:$L$267,2,FALSE),"")</f>
        <v/>
      </c>
      <c r="C49" s="1375" t="str">
        <f t="shared" si="1"/>
        <v/>
      </c>
      <c r="D49" s="827"/>
      <c r="E49" s="1376" t="str">
        <f t="shared" si="2"/>
        <v/>
      </c>
      <c r="G49" s="1368">
        <f>VLOOKUP('EstRev 6-11'!$A$109,'EstRev 6-11'!$A$5:$L$267,12,FALSE)</f>
        <v>0</v>
      </c>
      <c r="H49" s="188" t="b">
        <f t="shared" si="0"/>
        <v>1</v>
      </c>
    </row>
    <row r="50" spans="1:8" x14ac:dyDescent="0.2">
      <c r="A50" s="1352" t="str">
        <f>IF(G50&gt;0,"10-"&amp;VLOOKUP('EstRev 6-11'!$A$116,'EstRev 6-11'!$A$5:$L$267,1,FALSE),"")</f>
        <v/>
      </c>
      <c r="B50" s="1353" t="str">
        <f>IF(G50&gt;0,VLOOKUP('EstRev 6-11'!$A$116,'EstRev 6-11'!$A$5:$L$267,2,FALSE),"")</f>
        <v/>
      </c>
      <c r="C50" s="1375" t="str">
        <f t="shared" si="1"/>
        <v/>
      </c>
      <c r="D50" s="827"/>
      <c r="E50" s="1376" t="str">
        <f t="shared" si="2"/>
        <v/>
      </c>
      <c r="G50" s="1368">
        <f>VLOOKUP('EstRev 6-11'!$A$116,'EstRev 6-11'!$A$5:$L$267,4,FALSE)</f>
        <v>0</v>
      </c>
      <c r="H50" s="188" t="b">
        <f t="shared" si="0"/>
        <v>1</v>
      </c>
    </row>
    <row r="51" spans="1:8" x14ac:dyDescent="0.2">
      <c r="A51" s="1352" t="str">
        <f>IF(G51&gt;0,"20-"&amp;VLOOKUP('EstRev 6-11'!$A$116,'EstRev 6-11'!$A$5:$L$267,1,FALSE),"")</f>
        <v/>
      </c>
      <c r="B51" s="1353" t="str">
        <f>IF(G51&gt;0,VLOOKUP('EstRev 6-11'!$A$116,'EstRev 6-11'!$A$5:$L$267,2,FALSE),"")</f>
        <v/>
      </c>
      <c r="C51" s="1375" t="str">
        <f t="shared" si="1"/>
        <v/>
      </c>
      <c r="D51" s="827"/>
      <c r="E51" s="1376" t="str">
        <f t="shared" si="2"/>
        <v/>
      </c>
      <c r="G51" s="1368">
        <f>VLOOKUP('EstRev 6-11'!$A$116,'EstRev 6-11'!$A$5:$L$267,5,FALSE)</f>
        <v>0</v>
      </c>
      <c r="H51" s="188" t="b">
        <f t="shared" si="0"/>
        <v>1</v>
      </c>
    </row>
    <row r="52" spans="1:8" x14ac:dyDescent="0.2">
      <c r="A52" s="1353" t="str">
        <f>IF(G52&gt;0,"40-"&amp;VLOOKUP('EstRev 6-11'!$A$116,'EstRev 6-11'!$A$5:$L$267,1,FALSE),"")</f>
        <v/>
      </c>
      <c r="B52" s="1353" t="str">
        <f>IF(G52&gt;0,VLOOKUP('EstRev 6-11'!$A$116,'EstRev 6-11'!$A$5:$L$267,2,FALSE),"")</f>
        <v/>
      </c>
      <c r="C52" s="1375" t="str">
        <f t="shared" si="1"/>
        <v/>
      </c>
      <c r="D52" s="827"/>
      <c r="E52" s="1376" t="str">
        <f t="shared" si="2"/>
        <v/>
      </c>
      <c r="F52" s="187"/>
      <c r="G52" s="1368">
        <f>VLOOKUP('EstRev 6-11'!$A$116,'EstRev 6-11'!$A$5:$L$267,7,FALSE)</f>
        <v>0</v>
      </c>
      <c r="H52" s="188" t="b">
        <f t="shared" si="0"/>
        <v>1</v>
      </c>
    </row>
    <row r="53" spans="1:8" x14ac:dyDescent="0.2">
      <c r="A53" s="1352" t="str">
        <f>IF(G53&gt;0,"50-"&amp;VLOOKUP('EstRev 6-11'!$A$116,'EstRev 6-11'!$A$5:$L$267,1,FALSE),"")</f>
        <v/>
      </c>
      <c r="B53" s="1353" t="str">
        <f>IF(G53&gt;0,VLOOKUP('EstRev 6-11'!$A$116,'EstRev 6-11'!$A$5:$L$267,2,FALSE),"")</f>
        <v/>
      </c>
      <c r="C53" s="1375" t="str">
        <f t="shared" si="1"/>
        <v/>
      </c>
      <c r="D53" s="827"/>
      <c r="E53" s="1376" t="str">
        <f t="shared" si="2"/>
        <v/>
      </c>
      <c r="G53" s="1368">
        <f>VLOOKUP('EstRev 6-11'!$A$116,'EstRev 6-11'!$A$5:$L$267,8,FALSE)</f>
        <v>0</v>
      </c>
      <c r="H53" s="188" t="b">
        <f t="shared" si="0"/>
        <v>1</v>
      </c>
    </row>
    <row r="54" spans="1:8" x14ac:dyDescent="0.2">
      <c r="A54" s="1352" t="str">
        <f>IF(G54&gt;0,"10-"&amp;VLOOKUP('EstRev 6-11'!$A$123,'EstRev 6-11'!$A$5:$L$267,1,FALSE),"")</f>
        <v/>
      </c>
      <c r="B54" s="1353" t="str">
        <f>IF(G54&gt;0,VLOOKUP('EstRev 6-11'!$A$123,'EstRev 6-11'!$A$5:$L$267,2,FALSE),"")</f>
        <v/>
      </c>
      <c r="C54" s="1375" t="str">
        <f t="shared" si="1"/>
        <v/>
      </c>
      <c r="D54" s="827"/>
      <c r="E54" s="1376" t="str">
        <f t="shared" si="2"/>
        <v/>
      </c>
      <c r="G54" s="1368">
        <f>VLOOKUP('EstRev 6-11'!$A$123,'EstRev 6-11'!$A$5:$L$267,4,FALSE)</f>
        <v>0</v>
      </c>
      <c r="H54" s="188" t="b">
        <f t="shared" si="0"/>
        <v>1</v>
      </c>
    </row>
    <row r="55" spans="1:8" x14ac:dyDescent="0.2">
      <c r="A55" s="1352" t="str">
        <f>IF(G55&gt;0,"20-"&amp;VLOOKUP('EstRev 6-11'!$A$123,'EstRev 6-11'!$A$5:$L$267,1,FALSE),"")</f>
        <v/>
      </c>
      <c r="B55" s="1353" t="str">
        <f>IF(G55&gt;0,VLOOKUP('EstRev 6-11'!$A$123,'EstRev 6-11'!$A$5:$L$267,2,FALSE),"")</f>
        <v/>
      </c>
      <c r="C55" s="1375" t="str">
        <f t="shared" si="1"/>
        <v/>
      </c>
      <c r="D55" s="827"/>
      <c r="E55" s="1376" t="str">
        <f t="shared" si="2"/>
        <v/>
      </c>
      <c r="G55" s="1368">
        <f>VLOOKUP('EstRev 6-11'!$A$123,'EstRev 6-11'!$A$5:$L$267,5,FALSE)</f>
        <v>0</v>
      </c>
      <c r="H55" s="188" t="b">
        <f t="shared" si="0"/>
        <v>1</v>
      </c>
    </row>
    <row r="56" spans="1:8" x14ac:dyDescent="0.2">
      <c r="A56" s="1353" t="str">
        <f>IF(G56&gt;0,"30-"&amp;VLOOKUP('EstRev 6-11'!$A$123,'EstRev 6-11'!$A$5:$L$267,1,FALSE),"")</f>
        <v/>
      </c>
      <c r="B56" s="1353" t="str">
        <f>IF(G56&gt;0,VLOOKUP('EstRev 6-11'!$A$123,'EstRev 6-11'!$A$5:$L$267,2,FALSE),"")</f>
        <v/>
      </c>
      <c r="C56" s="1375" t="str">
        <f t="shared" si="1"/>
        <v/>
      </c>
      <c r="D56" s="827"/>
      <c r="E56" s="1376" t="str">
        <f t="shared" si="2"/>
        <v/>
      </c>
      <c r="G56" s="1368">
        <f>VLOOKUP('EstRev 6-11'!$A$123,'EstRev 6-11'!$A$5:$L$267,6,FALSE)</f>
        <v>0</v>
      </c>
      <c r="H56" s="188" t="b">
        <f t="shared" si="0"/>
        <v>1</v>
      </c>
    </row>
    <row r="57" spans="1:8" x14ac:dyDescent="0.2">
      <c r="A57" s="1352" t="str">
        <f>IF(G57&gt;0,"40-"&amp;VLOOKUP('EstRev 6-11'!$A$123,'EstRev 6-11'!$A$5:$L$267,1,FALSE),"")</f>
        <v/>
      </c>
      <c r="B57" s="1353" t="str">
        <f>IF(G57&gt;0,VLOOKUP('EstRev 6-11'!$A$123,'EstRev 6-11'!$A$5:$L$267,2,FALSE),"")</f>
        <v/>
      </c>
      <c r="C57" s="1375" t="str">
        <f t="shared" si="1"/>
        <v/>
      </c>
      <c r="D57" s="827"/>
      <c r="E57" s="1376" t="str">
        <f t="shared" si="2"/>
        <v/>
      </c>
      <c r="G57" s="1368">
        <f>VLOOKUP('EstRev 6-11'!$A$123,'EstRev 6-11'!$A$5:$L$267,7,FALSE)</f>
        <v>0</v>
      </c>
      <c r="H57" s="188" t="b">
        <f t="shared" si="0"/>
        <v>1</v>
      </c>
    </row>
    <row r="58" spans="1:8" x14ac:dyDescent="0.2">
      <c r="A58" s="1352" t="str">
        <f>IF(G58&gt;0,"50-"&amp;VLOOKUP('EstRev 6-11'!$A$123,'EstRev 6-11'!$A$5:$L$267,1,FALSE),"")</f>
        <v/>
      </c>
      <c r="B58" s="1353" t="str">
        <f>IF(G58&gt;0,VLOOKUP('EstRev 6-11'!$A$123,'EstRev 6-11'!$A$5:$L$267,2,FALSE),"")</f>
        <v/>
      </c>
      <c r="C58" s="1375" t="str">
        <f t="shared" si="1"/>
        <v/>
      </c>
      <c r="D58" s="827"/>
      <c r="E58" s="1376" t="str">
        <f t="shared" si="2"/>
        <v/>
      </c>
      <c r="G58" s="1368">
        <f>VLOOKUP('EstRev 6-11'!$A$123,'EstRev 6-11'!$A$5:$L$267,8,FALSE)</f>
        <v>0</v>
      </c>
      <c r="H58" s="188" t="b">
        <f t="shared" si="0"/>
        <v>1</v>
      </c>
    </row>
    <row r="59" spans="1:8" x14ac:dyDescent="0.2">
      <c r="A59" s="1353" t="str">
        <f>IF(G59&gt;0,"60-"&amp;VLOOKUP('EstRev 6-11'!$A$123,'EstRev 6-11'!$A$5:$L$267,1,FALSE),"")</f>
        <v/>
      </c>
      <c r="B59" s="1353" t="str">
        <f>IF(G59&gt;0,VLOOKUP('EstRev 6-11'!$A$123,'EstRev 6-11'!$A$5:$L$267,2,FALSE),"")</f>
        <v/>
      </c>
      <c r="C59" s="1375" t="str">
        <f t="shared" si="1"/>
        <v/>
      </c>
      <c r="D59" s="827"/>
      <c r="E59" s="1376" t="str">
        <f t="shared" si="2"/>
        <v/>
      </c>
      <c r="G59" s="1368">
        <f>VLOOKUP('EstRev 6-11'!$A$123,'EstRev 6-11'!$A$5:$L$267,9,FALSE)</f>
        <v>0</v>
      </c>
      <c r="H59" s="188" t="b">
        <f t="shared" si="0"/>
        <v>1</v>
      </c>
    </row>
    <row r="60" spans="1:8" x14ac:dyDescent="0.2">
      <c r="A60" s="1352" t="str">
        <f>IF(G60&gt;0,"80-"&amp;VLOOKUP('EstRev 6-11'!$A$123,'EstRev 6-11'!$A$5:$L$267,1,FALSE),"")</f>
        <v/>
      </c>
      <c r="B60" s="1353" t="str">
        <f>IF(G60&gt;0,VLOOKUP('EstRev 6-11'!$A$123,'EstRev 6-11'!$A$5:$L$267,2,FALSE),"")</f>
        <v/>
      </c>
      <c r="C60" s="1375" t="str">
        <f t="shared" si="1"/>
        <v/>
      </c>
      <c r="D60" s="827"/>
      <c r="E60" s="1376" t="str">
        <f t="shared" si="2"/>
        <v/>
      </c>
      <c r="G60" s="1368">
        <f>VLOOKUP('EstRev 6-11'!$A$123,'EstRev 6-11'!$A$5:$L$267,11,FALSE)</f>
        <v>0</v>
      </c>
      <c r="H60" s="188" t="b">
        <f t="shared" si="0"/>
        <v>1</v>
      </c>
    </row>
    <row r="61" spans="1:8" x14ac:dyDescent="0.2">
      <c r="A61" s="1352" t="str">
        <f>IF(G61&gt;0,"90-"&amp;VLOOKUP('EstRev 6-11'!$A$123,'EstRev 6-11'!$A$5:$L$267,1,FALSE),"")</f>
        <v/>
      </c>
      <c r="B61" s="1353" t="str">
        <f>IF(G61&gt;0,VLOOKUP('EstRev 6-11'!$A$123,'EstRev 6-11'!$A$5:$L$267,2,FALSE),"")</f>
        <v/>
      </c>
      <c r="C61" s="1375" t="str">
        <f t="shared" si="1"/>
        <v/>
      </c>
      <c r="D61" s="827"/>
      <c r="E61" s="1376" t="str">
        <f t="shared" si="2"/>
        <v/>
      </c>
      <c r="G61" s="1368">
        <f>VLOOKUP('EstRev 6-11'!$A$123,'EstRev 6-11'!$A$5:$L$267,12,FALSE)</f>
        <v>0</v>
      </c>
      <c r="H61" s="188" t="b">
        <f t="shared" si="0"/>
        <v>1</v>
      </c>
    </row>
    <row r="62" spans="1:8" x14ac:dyDescent="0.2">
      <c r="A62" s="1352" t="str">
        <f>IF(G62&gt;0,"10-"&amp;VLOOKUP('EstRev 6-11'!$A$133,'EstRev 6-11'!$A$5:$L$267,1,FALSE),"")</f>
        <v/>
      </c>
      <c r="B62" s="1353" t="str">
        <f>IF(G62&gt;0,VLOOKUP('EstRev 6-11'!$A$133,'EstRev 6-11'!$A$5:$L$267,2,FALSE),"")</f>
        <v/>
      </c>
      <c r="C62" s="1375" t="str">
        <f t="shared" si="1"/>
        <v/>
      </c>
      <c r="D62" s="827"/>
      <c r="E62" s="1376" t="str">
        <f t="shared" si="2"/>
        <v/>
      </c>
      <c r="G62" s="1368">
        <f>VLOOKUP('EstRev 6-11'!$A$133,'EstRev 6-11'!$A$5:$L$267,4,FALSE)</f>
        <v>0</v>
      </c>
      <c r="H62" s="188" t="b">
        <f t="shared" si="0"/>
        <v>1</v>
      </c>
    </row>
    <row r="63" spans="1:8" x14ac:dyDescent="0.2">
      <c r="A63" s="1352" t="str">
        <f>IF(G63&gt;0,"20-"&amp;VLOOKUP('EstRev 6-11'!$A$133,'EstRev 6-11'!$A$5:$L$267,1,FALSE),"")</f>
        <v/>
      </c>
      <c r="B63" s="1353" t="str">
        <f>IF(G63&gt;0,VLOOKUP('EstRev 6-11'!$A$133,'EstRev 6-11'!$A$5:$L$267,2,FALSE),"")</f>
        <v/>
      </c>
      <c r="C63" s="1375" t="str">
        <f t="shared" si="1"/>
        <v/>
      </c>
      <c r="D63" s="827"/>
      <c r="E63" s="1376" t="str">
        <f t="shared" si="2"/>
        <v/>
      </c>
      <c r="G63" s="1368">
        <f>VLOOKUP('EstRev 6-11'!$A$133,'EstRev 6-11'!$A$5:$L$267,5,FALSE)</f>
        <v>0</v>
      </c>
      <c r="H63" s="188" t="b">
        <f t="shared" si="0"/>
        <v>1</v>
      </c>
    </row>
    <row r="64" spans="1:8" x14ac:dyDescent="0.2">
      <c r="A64" s="1353" t="str">
        <f>IF(G64&gt;0,"40-"&amp;VLOOKUP('EstRev 6-11'!$A$133,'EstRev 6-11'!$A$5:$L$267,1,FALSE),"")</f>
        <v/>
      </c>
      <c r="B64" s="1353" t="str">
        <f>IF(G64&gt;0,VLOOKUP('EstRev 6-11'!$A$133,'EstRev 6-11'!$A$5:$L$267,2,FALSE),"")</f>
        <v/>
      </c>
      <c r="C64" s="1375" t="str">
        <f t="shared" si="1"/>
        <v/>
      </c>
      <c r="D64" s="827"/>
      <c r="E64" s="1376" t="str">
        <f t="shared" si="2"/>
        <v/>
      </c>
      <c r="G64" s="1368">
        <f>VLOOKUP('EstRev 6-11'!$A$133,'EstRev 6-11'!$A$5:$L$267,7,FALSE)</f>
        <v>0</v>
      </c>
      <c r="H64" s="188" t="b">
        <f t="shared" si="0"/>
        <v>1</v>
      </c>
    </row>
    <row r="65" spans="1:8" x14ac:dyDescent="0.2">
      <c r="A65" s="1352" t="str">
        <f>IF(G65&gt;0,"10-"&amp;VLOOKUP('EstRev 6-11'!$A$142,'EstRev 6-11'!$A$5:$L$267,1,FALSE),"")</f>
        <v/>
      </c>
      <c r="B65" s="1353" t="str">
        <f>IF(G65&gt;0,VLOOKUP('EstRev 6-11'!$A$142,'EstRev 6-11'!$A$5:$L$267,2,FALSE),"")</f>
        <v/>
      </c>
      <c r="C65" s="1375" t="str">
        <f t="shared" ref="C65:C69" si="3">IF(B65="","",LEFT(B65, LEN(B65)-21))</f>
        <v/>
      </c>
      <c r="D65" s="827"/>
      <c r="E65" s="1376" t="str">
        <f t="shared" si="2"/>
        <v/>
      </c>
      <c r="G65" s="1368">
        <f>VLOOKUP('EstRev 6-11'!$A$142,'EstRev 6-11'!$A$5:$L$267,4,FALSE)</f>
        <v>0</v>
      </c>
      <c r="H65" s="188" t="b">
        <f t="shared" si="0"/>
        <v>1</v>
      </c>
    </row>
    <row r="66" spans="1:8" x14ac:dyDescent="0.2">
      <c r="A66" s="1352" t="str">
        <f>IF(G66&gt;0,"20-"&amp;VLOOKUP('EstRev 6-11'!$A$142,'EstRev 6-11'!$A$5:$L$267,1,FALSE),"")</f>
        <v/>
      </c>
      <c r="B66" s="1353" t="str">
        <f>IF(G66&gt;0,VLOOKUP('EstRev 6-11'!$A$142,'EstRev 6-11'!$A$5:$L$267,2,FALSE),"")</f>
        <v/>
      </c>
      <c r="C66" s="1375" t="str">
        <f t="shared" si="3"/>
        <v/>
      </c>
      <c r="D66" s="827"/>
      <c r="E66" s="1376" t="str">
        <f t="shared" si="2"/>
        <v/>
      </c>
      <c r="G66" s="1368">
        <f>VLOOKUP('EstRev 6-11'!$A$142,'EstRev 6-11'!$A$5:$L$267,5,FALSE)</f>
        <v>0</v>
      </c>
      <c r="H66" s="188" t="b">
        <f t="shared" si="0"/>
        <v>1</v>
      </c>
    </row>
    <row r="67" spans="1:8" x14ac:dyDescent="0.2">
      <c r="A67" s="1353" t="str">
        <f>IF(G67&gt;0,"50-"&amp;VLOOKUP('EstRev 6-11'!$A$142,'EstRev 6-11'!$A$5:$L$267,1,FALSE),"")</f>
        <v/>
      </c>
      <c r="B67" s="1353" t="str">
        <f>IF(G67&gt;0,VLOOKUP('EstRev 6-11'!$A$142,'EstRev 6-11'!$A$5:$L$267,2,FALSE),"")</f>
        <v/>
      </c>
      <c r="C67" s="1375" t="str">
        <f t="shared" si="3"/>
        <v/>
      </c>
      <c r="D67" s="827"/>
      <c r="E67" s="1376" t="str">
        <f t="shared" si="2"/>
        <v/>
      </c>
      <c r="G67" s="1368">
        <f>VLOOKUP('EstRev 6-11'!$A$142,'EstRev 6-11'!$A$5:$L$267,8,FALSE)</f>
        <v>0</v>
      </c>
      <c r="H67" s="188" t="b">
        <f t="shared" si="0"/>
        <v>1</v>
      </c>
    </row>
    <row r="68" spans="1:8" x14ac:dyDescent="0.2">
      <c r="A68" s="1352" t="str">
        <f>IF(G68&gt;0,"10-"&amp;VLOOKUP('EstRev 6-11'!$A$152,'EstRev 6-11'!$A$5:$L$267,1,FALSE),"")</f>
        <v/>
      </c>
      <c r="B68" s="1353" t="str">
        <f>IF(G68&gt;0,VLOOKUP('EstRev 6-11'!$A$152,'EstRev 6-11'!$A$5:$L$267,2,FALSE),"")</f>
        <v/>
      </c>
      <c r="C68" s="1375" t="str">
        <f t="shared" si="3"/>
        <v/>
      </c>
      <c r="D68" s="827"/>
      <c r="E68" s="1376" t="str">
        <f t="shared" si="2"/>
        <v/>
      </c>
      <c r="G68" s="1368">
        <f>VLOOKUP('EstRev 6-11'!$A$152,'EstRev 6-11'!$A$5:$L$267,4,FALSE)</f>
        <v>0</v>
      </c>
      <c r="H68" s="188" t="b">
        <f t="shared" si="0"/>
        <v>1</v>
      </c>
    </row>
    <row r="69" spans="1:8" x14ac:dyDescent="0.2">
      <c r="A69" s="1352" t="str">
        <f>IF(G69&gt;0,"20-"&amp;VLOOKUP('EstRev 6-11'!$A$152,'EstRev 6-11'!$A$5:$L$267,1,FALSE),"")</f>
        <v/>
      </c>
      <c r="B69" s="1353" t="str">
        <f>IF(G69&gt;0,VLOOKUP('EstRev 6-11'!$A$152,'EstRev 6-11'!$A$5:$L$267,2,FALSE),"")</f>
        <v/>
      </c>
      <c r="C69" s="1375" t="str">
        <f t="shared" si="3"/>
        <v/>
      </c>
      <c r="D69" s="827"/>
      <c r="E69" s="1376" t="str">
        <f t="shared" si="2"/>
        <v/>
      </c>
      <c r="G69" s="1368">
        <f>VLOOKUP('EstRev 6-11'!$A$152,'EstRev 6-11'!$A$5:$L$267,5,FALSE)</f>
        <v>0</v>
      </c>
      <c r="H69" s="188" t="b">
        <f t="shared" si="0"/>
        <v>1</v>
      </c>
    </row>
    <row r="70" spans="1:8" x14ac:dyDescent="0.2">
      <c r="A70" s="1353" t="str">
        <f>IF(G70&gt;0,"30-"&amp;VLOOKUP('EstRev 6-11'!$A$152,'EstRev 6-11'!$A$5:$L$267,1,FALSE),"")</f>
        <v/>
      </c>
      <c r="B70" s="1353" t="str">
        <f>IF(G70&gt;0,VLOOKUP('EstRev 6-11'!$A$152,'EstRev 6-11'!$A$5:$L$267,2,FALSE),"")</f>
        <v/>
      </c>
      <c r="C70" s="1375" t="str">
        <f t="shared" si="1"/>
        <v/>
      </c>
      <c r="D70" s="827"/>
      <c r="E70" s="1376" t="str">
        <f t="shared" si="2"/>
        <v/>
      </c>
      <c r="G70" s="1368">
        <f>VLOOKUP('EstRev 6-11'!$A$152,'EstRev 6-11'!$A$5:$L$267,6,FALSE)</f>
        <v>0</v>
      </c>
      <c r="H70" s="188" t="b">
        <f t="shared" si="0"/>
        <v>1</v>
      </c>
    </row>
    <row r="71" spans="1:8" x14ac:dyDescent="0.2">
      <c r="A71" s="1352" t="str">
        <f>IF(G71&gt;0,"40-"&amp;VLOOKUP('EstRev 6-11'!$A$152,'EstRev 6-11'!$A$5:$L$267,1,FALSE),"")</f>
        <v/>
      </c>
      <c r="B71" s="1353" t="str">
        <f>IF(G71&gt;0,VLOOKUP('EstRev 6-11'!$A$152,'EstRev 6-11'!$A$5:$L$267,2,FALSE),"")</f>
        <v/>
      </c>
      <c r="C71" s="1375" t="str">
        <f t="shared" si="1"/>
        <v/>
      </c>
      <c r="D71" s="827"/>
      <c r="E71" s="1376" t="str">
        <f t="shared" si="2"/>
        <v/>
      </c>
      <c r="G71" s="1368">
        <f>VLOOKUP('EstRev 6-11'!$A$152,'EstRev 6-11'!$A$5:$L$267,7,FALSE)</f>
        <v>0</v>
      </c>
      <c r="H71" s="188" t="b">
        <f t="shared" si="0"/>
        <v>1</v>
      </c>
    </row>
    <row r="72" spans="1:8" x14ac:dyDescent="0.2">
      <c r="A72" s="1352" t="str">
        <f>IF(G72&gt;0,"50-"&amp;VLOOKUP('EstRev 6-11'!$A$152,'EstRev 6-11'!$A$5:$L$267,1,FALSE),"")</f>
        <v/>
      </c>
      <c r="B72" s="1353" t="str">
        <f>IF(G72&gt;0,VLOOKUP('EstRev 6-11'!$A$152,'EstRev 6-11'!$A$5:$L$267,2,FALSE),"")</f>
        <v/>
      </c>
      <c r="C72" s="1375" t="str">
        <f t="shared" si="1"/>
        <v/>
      </c>
      <c r="D72" s="827"/>
      <c r="E72" s="1376" t="str">
        <f t="shared" si="2"/>
        <v/>
      </c>
      <c r="G72" s="1368">
        <f>VLOOKUP('EstRev 6-11'!$A$152,'EstRev 6-11'!$A$5:$L$267,8,FALSE)</f>
        <v>0</v>
      </c>
      <c r="H72" s="188" t="b">
        <f t="shared" si="0"/>
        <v>1</v>
      </c>
    </row>
    <row r="73" spans="1:8" x14ac:dyDescent="0.2">
      <c r="A73" s="1353" t="str">
        <f>IF(G73&gt;0,"60-"&amp;VLOOKUP('EstRev 6-11'!$A$152,'EstRev 6-11'!$A$5:$L$267,1,FALSE),"")</f>
        <v/>
      </c>
      <c r="B73" s="1353" t="str">
        <f>IF(G73&gt;0,VLOOKUP('EstRev 6-11'!$A$152,'EstRev 6-11'!$A$5:$L$267,2,FALSE),"")</f>
        <v/>
      </c>
      <c r="C73" s="1375" t="str">
        <f t="shared" si="1"/>
        <v/>
      </c>
      <c r="D73" s="827"/>
      <c r="E73" s="1376" t="str">
        <f t="shared" si="2"/>
        <v/>
      </c>
      <c r="G73" s="1368">
        <f>VLOOKUP('EstRev 6-11'!$A$152,'EstRev 6-11'!$A$5:$L$267,9,FALSE)</f>
        <v>0</v>
      </c>
      <c r="H73" s="188" t="b">
        <f t="shared" ref="H73:H136" si="4">ISBLANK(D73)</f>
        <v>1</v>
      </c>
    </row>
    <row r="74" spans="1:8" x14ac:dyDescent="0.2">
      <c r="A74" s="1352" t="str">
        <f>IF(G74&gt;0,"70-"&amp;VLOOKUP('EstRev 6-11'!$A$152,'EstRev 6-11'!$A$5:$L$267,1,FALSE),"")</f>
        <v/>
      </c>
      <c r="B74" s="1353" t="str">
        <f>IF(G74&gt;0,VLOOKUP('EstRev 6-11'!$A$152,'EstRev 6-11'!$A$5:$L$267,2,FALSE),"")</f>
        <v/>
      </c>
      <c r="C74" s="1375" t="str">
        <f t="shared" ref="C74:C138" si="5">IF(B74="","",LEFT(B74, LEN(B74)-21))</f>
        <v/>
      </c>
      <c r="D74" s="827"/>
      <c r="E74" s="1376" t="str">
        <f t="shared" ref="E74:E138" si="6">IF(G74&gt;0,G74,"")</f>
        <v/>
      </c>
      <c r="G74" s="1368">
        <f>VLOOKUP('EstRev 6-11'!$A$152,'EstRev 6-11'!$A$5:$L$267,10,FALSE)</f>
        <v>0</v>
      </c>
      <c r="H74" s="188" t="b">
        <f t="shared" si="4"/>
        <v>1</v>
      </c>
    </row>
    <row r="75" spans="1:8" x14ac:dyDescent="0.2">
      <c r="A75" s="1352" t="str">
        <f>IF(G75&gt;0,"80-"&amp;VLOOKUP('EstRev 6-11'!$A$152,'EstRev 6-11'!$A$5:$L$267,1,FALSE),"")</f>
        <v/>
      </c>
      <c r="B75" s="1353" t="str">
        <f>IF(G75&gt;0,VLOOKUP('EstRev 6-11'!$A$152,'EstRev 6-11'!$A$5:$L$267,2,FALSE),"")</f>
        <v/>
      </c>
      <c r="C75" s="1375" t="str">
        <f t="shared" si="5"/>
        <v/>
      </c>
      <c r="D75" s="827"/>
      <c r="E75" s="1376" t="str">
        <f t="shared" si="6"/>
        <v/>
      </c>
      <c r="G75" s="1368">
        <f>VLOOKUP('EstRev 6-11'!$A$152,'EstRev 6-11'!$A$5:$L$267,11,FALSE)</f>
        <v>0</v>
      </c>
      <c r="H75" s="188" t="b">
        <f t="shared" si="4"/>
        <v>1</v>
      </c>
    </row>
    <row r="76" spans="1:8" x14ac:dyDescent="0.2">
      <c r="A76" s="1352" t="str">
        <f>IF(G76&gt;0,"90-"&amp;VLOOKUP('EstRev 6-11'!$A$152,'EstRev 6-11'!$A$5:$L$267,1,FALSE),"")</f>
        <v/>
      </c>
      <c r="B76" s="1353" t="str">
        <f>IF(G76&gt;0,VLOOKUP('EstRev 6-11'!$A$152,'EstRev 6-11'!$A$5:$L$267,2,FALSE),"")</f>
        <v/>
      </c>
      <c r="C76" s="1375" t="str">
        <f t="shared" si="5"/>
        <v/>
      </c>
      <c r="D76" s="827"/>
      <c r="E76" s="1376" t="str">
        <f t="shared" si="6"/>
        <v/>
      </c>
      <c r="G76" s="1368">
        <f>VLOOKUP('EstRev 6-11'!$A$152,'EstRev 6-11'!$A$5:$L$267,12,FALSE)</f>
        <v>0</v>
      </c>
      <c r="H76" s="188" t="b">
        <f t="shared" si="4"/>
        <v>1</v>
      </c>
    </row>
    <row r="77" spans="1:8" x14ac:dyDescent="0.2">
      <c r="A77" s="1352" t="str">
        <f>IF(G77&gt;0,"10-"&amp;VLOOKUP('EstRev 6-11'!$A$156,'EstRev 6-11'!$A$5:$L$267,1,FALSE),"")</f>
        <v/>
      </c>
      <c r="B77" s="1353" t="str">
        <f>IF(G77&gt;0,VLOOKUP('EstRev 6-11'!$A$156,'EstRev 6-11'!$A$5:$L$267,2,FALSE),"")</f>
        <v/>
      </c>
      <c r="C77" s="1375" t="str">
        <f t="shared" si="5"/>
        <v/>
      </c>
      <c r="D77" s="827"/>
      <c r="E77" s="1376" t="str">
        <f t="shared" si="6"/>
        <v/>
      </c>
      <c r="G77" s="1368">
        <f>VLOOKUP('EstRev 6-11'!$A$156,'EstRev 6-11'!$A$5:$L$267,4,FALSE)</f>
        <v>0</v>
      </c>
      <c r="H77" s="188" t="b">
        <f t="shared" si="4"/>
        <v>1</v>
      </c>
    </row>
    <row r="78" spans="1:8" x14ac:dyDescent="0.2">
      <c r="A78" s="1352" t="str">
        <f>IF(G78&gt;0,"20-"&amp;VLOOKUP('EstRev 6-11'!$A$156,'EstRev 6-11'!$A$5:$L$267,1,FALSE),"")</f>
        <v/>
      </c>
      <c r="B78" s="1353" t="str">
        <f>IF(G78&gt;0,VLOOKUP('EstRev 6-11'!$A$156,'EstRev 6-11'!$A$5:$L$267,2,FALSE),"")</f>
        <v/>
      </c>
      <c r="C78" s="1375" t="str">
        <f t="shared" si="5"/>
        <v/>
      </c>
      <c r="D78" s="827"/>
      <c r="E78" s="1376" t="str">
        <f t="shared" si="6"/>
        <v/>
      </c>
      <c r="G78" s="1368">
        <f>VLOOKUP('EstRev 6-11'!$A$156,'EstRev 6-11'!$A$5:$L$267,5,FALSE)</f>
        <v>0</v>
      </c>
      <c r="H78" s="188" t="b">
        <f t="shared" si="4"/>
        <v>1</v>
      </c>
    </row>
    <row r="79" spans="1:8" x14ac:dyDescent="0.2">
      <c r="A79" s="1353" t="str">
        <f>IF(G79&gt;0,"40-"&amp;VLOOKUP('EstRev 6-11'!$A$156,'EstRev 6-11'!$A$5:$L$267,1,FALSE),"")</f>
        <v/>
      </c>
      <c r="B79" s="1353" t="str">
        <f>IF(G79&gt;0,VLOOKUP('EstRev 6-11'!$A$156,'EstRev 6-11'!$A$5:$L$267,2,FALSE),"")</f>
        <v/>
      </c>
      <c r="C79" s="1375" t="str">
        <f t="shared" si="5"/>
        <v/>
      </c>
      <c r="D79" s="827"/>
      <c r="E79" s="1376" t="str">
        <f t="shared" si="6"/>
        <v/>
      </c>
      <c r="G79" s="1368">
        <f>VLOOKUP('EstRev 6-11'!$A$156,'EstRev 6-11'!$A$5:$L$267,7,FALSE)</f>
        <v>0</v>
      </c>
      <c r="H79" s="188" t="b">
        <f t="shared" si="4"/>
        <v>1</v>
      </c>
    </row>
    <row r="80" spans="1:8" x14ac:dyDescent="0.2">
      <c r="A80" s="1352" t="str">
        <f>IF(G80&gt;0,"50-"&amp;VLOOKUP('EstRev 6-11'!$A$156,'EstRev 6-11'!$A$5:$L$267,1,FALSE),"")</f>
        <v/>
      </c>
      <c r="B80" s="1353" t="str">
        <f>IF(G80&gt;0,VLOOKUP('EstRev 6-11'!$A$156,'EstRev 6-11'!$A$5:$L$267,2,FALSE),"")</f>
        <v/>
      </c>
      <c r="C80" s="1375" t="str">
        <f t="shared" si="5"/>
        <v/>
      </c>
      <c r="D80" s="827"/>
      <c r="E80" s="1376" t="str">
        <f t="shared" si="6"/>
        <v/>
      </c>
      <c r="G80" s="1368">
        <f>VLOOKUP('EstRev 6-11'!$A$156,'EstRev 6-11'!$A$5:$L$267,8,FALSE)</f>
        <v>0</v>
      </c>
      <c r="H80" s="188" t="b">
        <f t="shared" si="4"/>
        <v>1</v>
      </c>
    </row>
    <row r="81" spans="1:8" x14ac:dyDescent="0.2">
      <c r="A81" s="1352" t="str">
        <f>IF(G81&gt;0,"10-"&amp;VLOOKUP('EstRev 6-11'!$A$170,'EstRev 6-11'!$A$5:$L$267,1,FALSE),"")</f>
        <v>10-3999</v>
      </c>
      <c r="B81" s="1353" t="str">
        <f>IF(G81&gt;0,VLOOKUP('EstRev 6-11'!$A$170,'EstRev 6-11'!$A$5:$L$267,2,FALSE),"")</f>
        <v>Other Restricted Revenue from State Sources (Describe &amp; Itemize)</v>
      </c>
      <c r="C81" s="1375" t="str">
        <f t="shared" si="5"/>
        <v>Other Restricted Revenue from State Sources</v>
      </c>
      <c r="D81" s="827" t="s">
        <v>3308</v>
      </c>
      <c r="E81" s="1376">
        <f t="shared" si="6"/>
        <v>3000</v>
      </c>
      <c r="G81" s="1368">
        <f>VLOOKUP('EstRev 6-11'!$A$170,'EstRev 6-11'!$A$5:$L$267,4,FALSE)</f>
        <v>3000</v>
      </c>
      <c r="H81" s="188" t="b">
        <f t="shared" si="4"/>
        <v>0</v>
      </c>
    </row>
    <row r="82" spans="1:8" x14ac:dyDescent="0.2">
      <c r="A82" s="1352" t="str">
        <f>IF(G82&gt;0,"20-"&amp;VLOOKUP('EstRev 6-11'!$A$170,'EstRev 6-11'!$A$5:$L$267,1,FALSE),"")</f>
        <v/>
      </c>
      <c r="B82" s="1353" t="str">
        <f>IF(G82&gt;0,VLOOKUP('EstRev 6-11'!$A$170,'EstRev 6-11'!$A$5:$L$267,2,FALSE),"")</f>
        <v/>
      </c>
      <c r="C82" s="1375" t="str">
        <f t="shared" si="5"/>
        <v/>
      </c>
      <c r="D82" s="827"/>
      <c r="E82" s="1376" t="str">
        <f t="shared" si="6"/>
        <v/>
      </c>
      <c r="G82" s="1368">
        <f>VLOOKUP('EstRev 6-11'!$A$170,'EstRev 6-11'!$A$5:$L$267,5,FALSE)</f>
        <v>0</v>
      </c>
      <c r="H82" s="188" t="b">
        <f t="shared" si="4"/>
        <v>1</v>
      </c>
    </row>
    <row r="83" spans="1:8" x14ac:dyDescent="0.2">
      <c r="A83" s="1353" t="str">
        <f>IF(G83&gt;0,"30-"&amp;VLOOKUP('EstRev 6-11'!$A$170,'EstRev 6-11'!$A$5:$L$267,1,FALSE),"")</f>
        <v/>
      </c>
      <c r="B83" s="1353" t="str">
        <f>IF(G83&gt;0,VLOOKUP('EstRev 6-11'!$A$170,'EstRev 6-11'!$A$5:$L$267,2,FALSE),"")</f>
        <v/>
      </c>
      <c r="C83" s="1375" t="str">
        <f t="shared" si="5"/>
        <v/>
      </c>
      <c r="D83" s="827"/>
      <c r="E83" s="1376" t="str">
        <f t="shared" si="6"/>
        <v/>
      </c>
      <c r="G83" s="1368">
        <f>VLOOKUP('EstRev 6-11'!$A$170,'EstRev 6-11'!$A$5:$L$267,6,FALSE)</f>
        <v>0</v>
      </c>
      <c r="H83" s="188" t="b">
        <f t="shared" si="4"/>
        <v>1</v>
      </c>
    </row>
    <row r="84" spans="1:8" x14ac:dyDescent="0.2">
      <c r="A84" s="1352" t="str">
        <f>IF(G84&gt;0,"40-"&amp;VLOOKUP('EstRev 6-11'!$A$170,'EstRev 6-11'!$A$5:$L$267,1,FALSE),"")</f>
        <v/>
      </c>
      <c r="B84" s="1353" t="str">
        <f>IF(G84&gt;0,VLOOKUP('EstRev 6-11'!$A$170,'EstRev 6-11'!$A$5:$L$267,2,FALSE),"")</f>
        <v/>
      </c>
      <c r="C84" s="1375" t="str">
        <f t="shared" si="5"/>
        <v/>
      </c>
      <c r="D84" s="827"/>
      <c r="E84" s="1376" t="str">
        <f t="shared" si="6"/>
        <v/>
      </c>
      <c r="G84" s="1368">
        <f>VLOOKUP('EstRev 6-11'!$A$170,'EstRev 6-11'!$A$5:$L$267,7,FALSE)</f>
        <v>0</v>
      </c>
      <c r="H84" s="188" t="b">
        <f t="shared" si="4"/>
        <v>1</v>
      </c>
    </row>
    <row r="85" spans="1:8" x14ac:dyDescent="0.2">
      <c r="A85" s="1352" t="str">
        <f>IF(G85&gt;0,"50-"&amp;VLOOKUP('EstRev 6-11'!$A$170,'EstRev 6-11'!$A$5:$L$267,1,FALSE),"")</f>
        <v/>
      </c>
      <c r="B85" s="1353" t="str">
        <f>IF(G85&gt;0,VLOOKUP('EstRev 6-11'!$A$170,'EstRev 6-11'!$A$5:$L$267,2,FALSE),"")</f>
        <v/>
      </c>
      <c r="C85" s="1375" t="str">
        <f t="shared" si="5"/>
        <v/>
      </c>
      <c r="D85" s="827"/>
      <c r="E85" s="1376" t="str">
        <f t="shared" si="6"/>
        <v/>
      </c>
      <c r="G85" s="1368">
        <f>VLOOKUP('EstRev 6-11'!$A$170,'EstRev 6-11'!$A$5:$L$267,8,FALSE)</f>
        <v>0</v>
      </c>
      <c r="H85" s="188" t="b">
        <f t="shared" si="4"/>
        <v>1</v>
      </c>
    </row>
    <row r="86" spans="1:8" x14ac:dyDescent="0.2">
      <c r="A86" s="1353" t="str">
        <f>IF(G86&gt;0,"60-"&amp;VLOOKUP('EstRev 6-11'!$A$170,'EstRev 6-11'!$A$5:$L$267,1,FALSE),"")</f>
        <v/>
      </c>
      <c r="B86" s="1353" t="str">
        <f>IF(G86&gt;0,VLOOKUP('EstRev 6-11'!$A$170,'EstRev 6-11'!$A$5:$L$267,2,FALSE),"")</f>
        <v/>
      </c>
      <c r="C86" s="1375" t="str">
        <f t="shared" si="5"/>
        <v/>
      </c>
      <c r="D86" s="827"/>
      <c r="E86" s="1376" t="str">
        <f t="shared" si="6"/>
        <v/>
      </c>
      <c r="G86" s="1368">
        <f>VLOOKUP('EstRev 6-11'!$A$170,'EstRev 6-11'!$A$5:$L$267,9,FALSE)</f>
        <v>0</v>
      </c>
      <c r="H86" s="188" t="b">
        <f t="shared" si="4"/>
        <v>1</v>
      </c>
    </row>
    <row r="87" spans="1:8" x14ac:dyDescent="0.2">
      <c r="A87" s="1352" t="str">
        <f>IF(G87&gt;0,"70-"&amp;VLOOKUP('EstRev 6-11'!$A$170,'EstRev 6-11'!$A$5:$L$267,1,FALSE),"")</f>
        <v/>
      </c>
      <c r="B87" s="1353" t="str">
        <f>IF(G87&gt;0,VLOOKUP('EstRev 6-11'!$A$170,'EstRev 6-11'!$A$5:$L$267,2,FALSE),"")</f>
        <v/>
      </c>
      <c r="C87" s="1375" t="str">
        <f t="shared" si="5"/>
        <v/>
      </c>
      <c r="D87" s="827"/>
      <c r="E87" s="1376" t="str">
        <f t="shared" si="6"/>
        <v/>
      </c>
      <c r="G87" s="1368">
        <f>VLOOKUP('EstRev 6-11'!$A$170,'EstRev 6-11'!$A$5:$L$267,10,FALSE)</f>
        <v>0</v>
      </c>
      <c r="H87" s="188" t="b">
        <f t="shared" si="4"/>
        <v>1</v>
      </c>
    </row>
    <row r="88" spans="1:8" x14ac:dyDescent="0.2">
      <c r="A88" s="1352" t="str">
        <f>IF(G88&gt;0,"80-"&amp;VLOOKUP('EstRev 6-11'!$A$170,'EstRev 6-11'!$A$5:$L$267,1,FALSE),"")</f>
        <v/>
      </c>
      <c r="B88" s="1353" t="str">
        <f>IF(G88&gt;0,VLOOKUP('EstRev 6-11'!$A$170,'EstRev 6-11'!$A$5:$L$267,2,FALSE),"")</f>
        <v/>
      </c>
      <c r="C88" s="1375" t="str">
        <f t="shared" si="5"/>
        <v/>
      </c>
      <c r="D88" s="827"/>
      <c r="E88" s="1376" t="str">
        <f t="shared" si="6"/>
        <v/>
      </c>
      <c r="G88" s="1368">
        <f>VLOOKUP('EstRev 6-11'!$A$170,'EstRev 6-11'!$A$5:$L$267,11,FALSE)</f>
        <v>0</v>
      </c>
      <c r="H88" s="188" t="b">
        <f t="shared" si="4"/>
        <v>1</v>
      </c>
    </row>
    <row r="89" spans="1:8" x14ac:dyDescent="0.2">
      <c r="A89" s="1352" t="str">
        <f>IF(G89&gt;0,"90-"&amp;VLOOKUP('EstRev 6-11'!$A$170,'EstRev 6-11'!$A$5:$L$267,1,FALSE),"")</f>
        <v/>
      </c>
      <c r="B89" s="1353" t="str">
        <f>IF(G89&gt;0,VLOOKUP('EstRev 6-11'!$A$170,'EstRev 6-11'!$A$5:$L$267,2,FALSE),"")</f>
        <v/>
      </c>
      <c r="C89" s="1375" t="str">
        <f t="shared" si="5"/>
        <v/>
      </c>
      <c r="D89" s="827"/>
      <c r="E89" s="1376" t="str">
        <f t="shared" si="6"/>
        <v/>
      </c>
      <c r="G89" s="1368">
        <f>VLOOKUP('EstRev 6-11'!$A$170,'EstRev 6-11'!$A$5:$L$267,12,FALSE)</f>
        <v>0</v>
      </c>
      <c r="H89" s="188" t="b">
        <f t="shared" si="4"/>
        <v>1</v>
      </c>
    </row>
    <row r="90" spans="1:8" x14ac:dyDescent="0.2">
      <c r="A90" s="1352" t="str">
        <f>IF(G90&gt;0,"10-"&amp;VLOOKUP('EstRev 6-11'!$A$176,'EstRev 6-11'!$A$5:$L$267,1,FALSE),"")</f>
        <v/>
      </c>
      <c r="B90" s="1353" t="str">
        <f>IF(G90&gt;0,VLOOKUP('EstRev 6-11'!$A$176,'EstRev 6-11'!$A$5:$L$267,2,FALSE),"")</f>
        <v/>
      </c>
      <c r="C90" s="1375" t="str">
        <f t="shared" si="5"/>
        <v/>
      </c>
      <c r="D90" s="827"/>
      <c r="E90" s="1376" t="str">
        <f t="shared" si="6"/>
        <v/>
      </c>
      <c r="G90" s="1368">
        <f>VLOOKUP('EstRev 6-11'!$A$176,'EstRev 6-11'!$A$5:$L$267,4,FALSE)</f>
        <v>0</v>
      </c>
      <c r="H90" s="188" t="b">
        <f t="shared" si="4"/>
        <v>1</v>
      </c>
    </row>
    <row r="91" spans="1:8" x14ac:dyDescent="0.2">
      <c r="A91" s="1352" t="str">
        <f>IF(G91&gt;0,"20-"&amp;VLOOKUP('EstRev 6-11'!$A$176,'EstRev 6-11'!$A$5:$L$267,1,FALSE),"")</f>
        <v/>
      </c>
      <c r="B91" s="1353" t="str">
        <f>IF(G91&gt;0,VLOOKUP('EstRev 6-11'!$A$176,'EstRev 6-11'!$A$5:$L$267,2,FALSE),"")</f>
        <v/>
      </c>
      <c r="C91" s="1375" t="str">
        <f t="shared" si="5"/>
        <v/>
      </c>
      <c r="D91" s="827"/>
      <c r="E91" s="1376" t="str">
        <f t="shared" si="6"/>
        <v/>
      </c>
      <c r="G91" s="1368">
        <f>VLOOKUP('EstRev 6-11'!$A$176,'EstRev 6-11'!$A$5:$L$267,5,FALSE)</f>
        <v>0</v>
      </c>
      <c r="H91" s="188" t="b">
        <f t="shared" si="4"/>
        <v>1</v>
      </c>
    </row>
    <row r="92" spans="1:8" x14ac:dyDescent="0.2">
      <c r="A92" s="1353" t="str">
        <f>IF(G92&gt;0,"30-"&amp;VLOOKUP('EstRev 6-11'!$A$176,'EstRev 6-11'!$A$5:$L$267,1,FALSE),"")</f>
        <v/>
      </c>
      <c r="B92" s="1353" t="str">
        <f>IF(G92&gt;0,VLOOKUP('EstRev 6-11'!$A$176,'EstRev 6-11'!$A$5:$L$267,2,FALSE),"")</f>
        <v/>
      </c>
      <c r="C92" s="1375" t="str">
        <f t="shared" si="5"/>
        <v/>
      </c>
      <c r="D92" s="827"/>
      <c r="E92" s="1376" t="str">
        <f t="shared" si="6"/>
        <v/>
      </c>
      <c r="G92" s="1368">
        <f>VLOOKUP('EstRev 6-11'!$A$176,'EstRev 6-11'!$A$5:$L$267,6,FALSE)</f>
        <v>0</v>
      </c>
      <c r="H92" s="188" t="b">
        <f t="shared" si="4"/>
        <v>1</v>
      </c>
    </row>
    <row r="93" spans="1:8" x14ac:dyDescent="0.2">
      <c r="A93" s="1352" t="str">
        <f>IF(G93&gt;0,"40-"&amp;VLOOKUP('EstRev 6-11'!$A$176,'EstRev 6-11'!$A$5:$L$267,1,FALSE),"")</f>
        <v/>
      </c>
      <c r="B93" s="1353" t="str">
        <f>IF(G93&gt;0,VLOOKUP('EstRev 6-11'!$A$176,'EstRev 6-11'!$A$5:$L$267,2,FALSE),"")</f>
        <v/>
      </c>
      <c r="C93" s="1375" t="str">
        <f t="shared" si="5"/>
        <v/>
      </c>
      <c r="D93" s="827"/>
      <c r="E93" s="1376" t="str">
        <f t="shared" si="6"/>
        <v/>
      </c>
      <c r="G93" s="1368">
        <f>VLOOKUP('EstRev 6-11'!$A$176,'EstRev 6-11'!$A$5:$L$267,7,FALSE)</f>
        <v>0</v>
      </c>
      <c r="H93" s="188" t="b">
        <f t="shared" si="4"/>
        <v>1</v>
      </c>
    </row>
    <row r="94" spans="1:8" x14ac:dyDescent="0.2">
      <c r="A94" s="1352" t="str">
        <f>IF(G94&gt;0,"50-"&amp;VLOOKUP('EstRev 6-11'!$A$176,'EstRev 6-11'!$A$5:$L$267,1,FALSE),"")</f>
        <v/>
      </c>
      <c r="B94" s="1353" t="str">
        <f>IF(G94&gt;0,VLOOKUP('EstRev 6-11'!$A$176,'EstRev 6-11'!$A$5:$L$267,2,FALSE),"")</f>
        <v/>
      </c>
      <c r="C94" s="1375" t="str">
        <f t="shared" si="5"/>
        <v/>
      </c>
      <c r="D94" s="827"/>
      <c r="E94" s="1376" t="str">
        <f t="shared" si="6"/>
        <v/>
      </c>
      <c r="G94" s="1368">
        <f>VLOOKUP('EstRev 6-11'!$A$176,'EstRev 6-11'!$A$5:$L$267,8,FALSE)</f>
        <v>0</v>
      </c>
      <c r="H94" s="188" t="b">
        <f t="shared" si="4"/>
        <v>1</v>
      </c>
    </row>
    <row r="95" spans="1:8" x14ac:dyDescent="0.2">
      <c r="A95" s="1353" t="str">
        <f>IF(G95&gt;0,"60-"&amp;VLOOKUP('EstRev 6-11'!$A$176,'EstRev 6-11'!$A$5:$L$267,1,FALSE),"")</f>
        <v/>
      </c>
      <c r="B95" s="1353" t="str">
        <f>IF(G95&gt;0,VLOOKUP('EstRev 6-11'!$A$176,'EstRev 6-11'!$A$5:$L$267,2,FALSE),"")</f>
        <v/>
      </c>
      <c r="C95" s="1375" t="str">
        <f t="shared" si="5"/>
        <v/>
      </c>
      <c r="D95" s="827"/>
      <c r="E95" s="1376" t="str">
        <f t="shared" si="6"/>
        <v/>
      </c>
      <c r="G95" s="1368">
        <f>VLOOKUP('EstRev 6-11'!$A$176,'EstRev 6-11'!$A$5:$L$267,9,FALSE)</f>
        <v>0</v>
      </c>
      <c r="H95" s="188" t="b">
        <f t="shared" si="4"/>
        <v>1</v>
      </c>
    </row>
    <row r="96" spans="1:8" x14ac:dyDescent="0.2">
      <c r="A96" s="1352" t="str">
        <f>IF(G96&gt;0,"70-"&amp;VLOOKUP('EstRev 6-11'!$A$176,'EstRev 6-11'!$A$5:$L$267,1,FALSE),"")</f>
        <v/>
      </c>
      <c r="B96" s="1353" t="str">
        <f>IF(G96&gt;0,VLOOKUP('EstRev 6-11'!$A$176,'EstRev 6-11'!$A$5:$L$267,2,FALSE),"")</f>
        <v/>
      </c>
      <c r="C96" s="1375" t="str">
        <f t="shared" si="5"/>
        <v/>
      </c>
      <c r="D96" s="827"/>
      <c r="E96" s="1376" t="str">
        <f t="shared" si="6"/>
        <v/>
      </c>
      <c r="G96" s="1368">
        <f>VLOOKUP('EstRev 6-11'!$A$176,'EstRev 6-11'!$A$5:$L$267,10,FALSE)</f>
        <v>0</v>
      </c>
      <c r="H96" s="188" t="b">
        <f t="shared" si="4"/>
        <v>1</v>
      </c>
    </row>
    <row r="97" spans="1:8" x14ac:dyDescent="0.2">
      <c r="A97" s="1352" t="str">
        <f>IF(G97&gt;0,"80-"&amp;VLOOKUP('EstRev 6-11'!$A$176,'EstRev 6-11'!$A$5:$L$267,1,FALSE),"")</f>
        <v/>
      </c>
      <c r="B97" s="1353" t="str">
        <f>IF(G97&gt;0,VLOOKUP('EstRev 6-11'!$A$176,'EstRev 6-11'!$A$5:$L$267,2,FALSE),"")</f>
        <v/>
      </c>
      <c r="C97" s="1375" t="str">
        <f t="shared" si="5"/>
        <v/>
      </c>
      <c r="D97" s="827"/>
      <c r="E97" s="1376" t="str">
        <f t="shared" si="6"/>
        <v/>
      </c>
      <c r="G97" s="1368">
        <f>VLOOKUP('EstRev 6-11'!$A$176,'EstRev 6-11'!$A$5:$L$267,11,FALSE)</f>
        <v>0</v>
      </c>
      <c r="H97" s="188" t="b">
        <f t="shared" si="4"/>
        <v>1</v>
      </c>
    </row>
    <row r="98" spans="1:8" x14ac:dyDescent="0.2">
      <c r="A98" s="1352" t="str">
        <f>IF(G98&gt;0,"90-"&amp;VLOOKUP('EstRev 6-11'!$A$176,'EstRev 6-11'!$A$5:$L$267,1,FALSE),"")</f>
        <v/>
      </c>
      <c r="B98" s="1353" t="str">
        <f>IF(G98&gt;0,VLOOKUP('EstRev 6-11'!$A$176,'EstRev 6-11'!$A$5:$L$267,2,FALSE),"")</f>
        <v/>
      </c>
      <c r="C98" s="1375" t="str">
        <f t="shared" si="5"/>
        <v/>
      </c>
      <c r="D98" s="827"/>
      <c r="E98" s="1376" t="str">
        <f t="shared" si="6"/>
        <v/>
      </c>
      <c r="G98" s="1368">
        <f>VLOOKUP('EstRev 6-11'!$A$176,'EstRev 6-11'!$A$5:$L$267,12,FALSE)</f>
        <v>0</v>
      </c>
      <c r="H98" s="188" t="b">
        <f t="shared" si="4"/>
        <v>1</v>
      </c>
    </row>
    <row r="99" spans="1:8" x14ac:dyDescent="0.2">
      <c r="A99" s="1352" t="str">
        <f>IF(G99&gt;0,"10-"&amp;VLOOKUP('EstRev 6-11'!$A$182,'EstRev 6-11'!$A$5:$L$267,1,FALSE),"")</f>
        <v/>
      </c>
      <c r="B99" s="1353" t="str">
        <f>IF(G99&gt;0,VLOOKUP('EstRev 6-11'!$A$182,'EstRev 6-11'!$A$5:$L$267,2,FALSE),"")</f>
        <v/>
      </c>
      <c r="C99" s="1375" t="str">
        <f t="shared" si="5"/>
        <v/>
      </c>
      <c r="D99" s="827"/>
      <c r="E99" s="1376" t="str">
        <f t="shared" si="6"/>
        <v/>
      </c>
      <c r="G99" s="1368">
        <f>VLOOKUP('EstRev 6-11'!$A$182,'EstRev 6-11'!$A$5:$L$267,4,FALSE)</f>
        <v>0</v>
      </c>
      <c r="H99" s="188" t="b">
        <f t="shared" si="4"/>
        <v>1</v>
      </c>
    </row>
    <row r="100" spans="1:8" x14ac:dyDescent="0.2">
      <c r="A100" s="1352" t="str">
        <f>IF(G100&gt;0,"20-"&amp;VLOOKUP('EstRev 6-11'!$A$182,'EstRev 6-11'!$A$5:$L$267,1,FALSE),"")</f>
        <v/>
      </c>
      <c r="B100" s="1353" t="str">
        <f>IF(G100&gt;0,VLOOKUP('EstRev 6-11'!$A$182,'EstRev 6-11'!$A$5:$L$267,2,FALSE),"")</f>
        <v/>
      </c>
      <c r="C100" s="1375" t="str">
        <f t="shared" si="5"/>
        <v/>
      </c>
      <c r="D100" s="827"/>
      <c r="E100" s="1376" t="str">
        <f t="shared" si="6"/>
        <v/>
      </c>
      <c r="G100" s="1368">
        <f>VLOOKUP('EstRev 6-11'!$A$182,'EstRev 6-11'!$A$5:$L$267,5,FALSE)</f>
        <v>0</v>
      </c>
      <c r="H100" s="188" t="b">
        <f t="shared" si="4"/>
        <v>1</v>
      </c>
    </row>
    <row r="101" spans="1:8" x14ac:dyDescent="0.2">
      <c r="A101" s="1353" t="str">
        <f>IF(G101&gt;0,"40-"&amp;VLOOKUP('EstRev 6-11'!$A$182,'EstRev 6-11'!$A$5:$L$267,1,FALSE),"")</f>
        <v/>
      </c>
      <c r="B101" s="1353" t="str">
        <f>IF(G101&gt;0,VLOOKUP('EstRev 6-11'!$A$182,'EstRev 6-11'!$A$5:$L$267,2,FALSE),"")</f>
        <v/>
      </c>
      <c r="C101" s="1375" t="str">
        <f t="shared" si="5"/>
        <v/>
      </c>
      <c r="D101" s="827"/>
      <c r="E101" s="1376" t="str">
        <f t="shared" si="6"/>
        <v/>
      </c>
      <c r="G101" s="1368">
        <f>VLOOKUP('EstRev 6-11'!$A$182,'EstRev 6-11'!$A$5:$L$267,7,FALSE)</f>
        <v>0</v>
      </c>
      <c r="H101" s="188" t="b">
        <f t="shared" si="4"/>
        <v>1</v>
      </c>
    </row>
    <row r="102" spans="1:8" x14ac:dyDescent="0.2">
      <c r="A102" s="1352" t="str">
        <f>IF(G102&gt;0,"50-"&amp;VLOOKUP('EstRev 6-11'!$A$182,'EstRev 6-11'!$A$5:$L$267,1,FALSE),"")</f>
        <v/>
      </c>
      <c r="B102" s="1353" t="str">
        <f>IF(G102&gt;0,VLOOKUP('EstRev 6-11'!$A$182,'EstRev 6-11'!$A$5:$L$267,2,FALSE),"")</f>
        <v/>
      </c>
      <c r="C102" s="1375" t="str">
        <f t="shared" si="5"/>
        <v/>
      </c>
      <c r="D102" s="827"/>
      <c r="E102" s="1376" t="str">
        <f t="shared" si="6"/>
        <v/>
      </c>
      <c r="G102" s="1368">
        <f>VLOOKUP('EstRev 6-11'!$A$182,'EstRev 6-11'!$A$5:$L$267,8,FALSE)</f>
        <v>0</v>
      </c>
      <c r="H102" s="188" t="b">
        <f t="shared" si="4"/>
        <v>1</v>
      </c>
    </row>
    <row r="103" spans="1:8" x14ac:dyDescent="0.2">
      <c r="A103" s="1352" t="str">
        <f>IF(G103&gt;0,"60-"&amp;VLOOKUP('EstRev 6-11'!$A$182,'EstRev 6-11'!$A$5:$L$267,1,FALSE),"")</f>
        <v/>
      </c>
      <c r="B103" s="1353" t="str">
        <f>IF(G103&gt;0,VLOOKUP('EstRev 6-11'!$A$182,'EstRev 6-11'!$A$5:$L$267,2,FALSE),"")</f>
        <v/>
      </c>
      <c r="C103" s="1375" t="str">
        <f t="shared" si="5"/>
        <v/>
      </c>
      <c r="D103" s="827"/>
      <c r="E103" s="1376" t="str">
        <f t="shared" si="6"/>
        <v/>
      </c>
      <c r="G103" s="1368">
        <f>VLOOKUP('EstRev 6-11'!$A$182,'EstRev 6-11'!$A$5:$L$267,9,FALSE)</f>
        <v>0</v>
      </c>
      <c r="H103" s="188" t="b">
        <f t="shared" si="4"/>
        <v>1</v>
      </c>
    </row>
    <row r="104" spans="1:8" x14ac:dyDescent="0.2">
      <c r="A104" s="1353" t="str">
        <f>IF(G104&gt;0,"90-"&amp;VLOOKUP('EstRev 6-11'!$A$182,'EstRev 6-11'!$A$5:$L$267,1,FALSE),"")</f>
        <v/>
      </c>
      <c r="B104" s="1353" t="str">
        <f>IF(G104&gt;0,VLOOKUP('EstRev 6-11'!$A$182,'EstRev 6-11'!$A$5:$L$267,2,FALSE),"")</f>
        <v/>
      </c>
      <c r="C104" s="1375" t="str">
        <f t="shared" si="5"/>
        <v/>
      </c>
      <c r="D104" s="827"/>
      <c r="E104" s="1376" t="str">
        <f t="shared" si="6"/>
        <v/>
      </c>
      <c r="G104" s="1368">
        <f>VLOOKUP('EstRev 6-11'!$A$182,'EstRev 6-11'!$A$5:$L$267,12,FALSE)</f>
        <v>0</v>
      </c>
      <c r="H104" s="188" t="b">
        <f t="shared" si="4"/>
        <v>1</v>
      </c>
    </row>
    <row r="105" spans="1:8" x14ac:dyDescent="0.2">
      <c r="A105" s="1352" t="str">
        <f>IF(G105&gt;0,"10-"&amp;VLOOKUP('EstRev 6-11'!$A$189,'EstRev 6-11'!$A$5:$L$267,1,FALSE),"")</f>
        <v/>
      </c>
      <c r="B105" s="1353" t="str">
        <f>IF(G105&gt;0,VLOOKUP('EstRev 6-11'!$A$189,'EstRev 6-11'!$A$5:$L$267,2,FALSE),"")</f>
        <v/>
      </c>
      <c r="C105" s="1375" t="str">
        <f t="shared" ref="C105:C108" si="7">IF(B105="","",LEFT(B105, LEN(B105)-21))</f>
        <v/>
      </c>
      <c r="D105" s="827"/>
      <c r="E105" s="1376" t="str">
        <f t="shared" si="6"/>
        <v/>
      </c>
      <c r="G105" s="1368">
        <f>VLOOKUP('EstRev 6-11'!$A$189,'EstRev 6-11'!$A$5:$L$267,4,FALSE)</f>
        <v>0</v>
      </c>
      <c r="H105" s="188" t="b">
        <f t="shared" si="4"/>
        <v>1</v>
      </c>
    </row>
    <row r="106" spans="1:8" x14ac:dyDescent="0.2">
      <c r="A106" s="1352" t="str">
        <f>IF(G106&gt;0,"20-"&amp;VLOOKUP('EstRev 6-11'!$A$189,'EstRev 6-11'!$A$5:$L$267,1,FALSE),"")</f>
        <v/>
      </c>
      <c r="B106" s="1353" t="str">
        <f>IF(G106&gt;0,VLOOKUP('EstRev 6-11'!$A$189,'EstRev 6-11'!$A$5:$L$267,2,FALSE),"")</f>
        <v/>
      </c>
      <c r="C106" s="1375" t="str">
        <f t="shared" si="7"/>
        <v/>
      </c>
      <c r="D106" s="827"/>
      <c r="E106" s="1376" t="str">
        <f t="shared" si="6"/>
        <v/>
      </c>
      <c r="G106" s="1368">
        <f>VLOOKUP('EstRev 6-11'!$A$189,'EstRev 6-11'!$A$5:$L$267,5,FALSE)</f>
        <v>0</v>
      </c>
      <c r="H106" s="188" t="b">
        <f t="shared" si="4"/>
        <v>1</v>
      </c>
    </row>
    <row r="107" spans="1:8" x14ac:dyDescent="0.2">
      <c r="A107" s="1353" t="str">
        <f>IF(G107&gt;0,"40-"&amp;VLOOKUP('EstRev 6-11'!$A$189,'EstRev 6-11'!$A$5:$L$267,1,FALSE),"")</f>
        <v/>
      </c>
      <c r="B107" s="1353" t="str">
        <f>IF(G107&gt;0,VLOOKUP('EstRev 6-11'!$A$189,'EstRev 6-11'!$A$5:$L$267,2,FALSE),"")</f>
        <v/>
      </c>
      <c r="C107" s="1375" t="str">
        <f t="shared" si="7"/>
        <v/>
      </c>
      <c r="D107" s="827"/>
      <c r="E107" s="1376" t="str">
        <f t="shared" si="6"/>
        <v/>
      </c>
      <c r="G107" s="1368">
        <f>VLOOKUP('EstRev 6-11'!$A$189,'EstRev 6-11'!$A$5:$L$267,7,FALSE)</f>
        <v>0</v>
      </c>
      <c r="H107" s="188" t="b">
        <f t="shared" si="4"/>
        <v>1</v>
      </c>
    </row>
    <row r="108" spans="1:8" x14ac:dyDescent="0.2">
      <c r="A108" s="1352" t="str">
        <f>IF(G108&gt;0,"50-"&amp;VLOOKUP('EstRev 6-11'!$A$189,'EstRev 6-11'!$A$5:$L$267,1,FALSE),"")</f>
        <v/>
      </c>
      <c r="B108" s="1353" t="str">
        <f>IF(G108&gt;0,VLOOKUP('EstRev 6-11'!$A$189,'EstRev 6-11'!$A$5:$L$267,2,FALSE),"")</f>
        <v/>
      </c>
      <c r="C108" s="1375" t="str">
        <f t="shared" si="7"/>
        <v/>
      </c>
      <c r="D108" s="827"/>
      <c r="E108" s="1376" t="str">
        <f t="shared" si="6"/>
        <v/>
      </c>
      <c r="G108" s="1368">
        <f>VLOOKUP('EstRev 6-11'!$A$189,'EstRev 6-11'!$A$5:$L$267,8,FALSE)</f>
        <v>0</v>
      </c>
      <c r="H108" s="188" t="b">
        <f t="shared" si="4"/>
        <v>1</v>
      </c>
    </row>
    <row r="109" spans="1:8" x14ac:dyDescent="0.2">
      <c r="A109" s="1352" t="str">
        <f>IF(G109&gt;0,"10-"&amp;VLOOKUP('EstRev 6-11'!$A$199,'EstRev 6-11'!$A$5:$L$267,1,FALSE),"")</f>
        <v/>
      </c>
      <c r="B109" s="1353" t="str">
        <f>IF(G109&gt;0,VLOOKUP('EstRev 6-11'!$A$199,'EstRev 6-11'!$A$5:$L$267,2,FALSE),"")</f>
        <v/>
      </c>
      <c r="C109" s="1375" t="str">
        <f t="shared" si="5"/>
        <v/>
      </c>
      <c r="D109" s="827"/>
      <c r="E109" s="1376" t="str">
        <f t="shared" si="6"/>
        <v/>
      </c>
      <c r="G109" s="1368">
        <f>VLOOKUP('EstRev 6-11'!$A$199,'EstRev 6-11'!$A$5:$L$267,4,FALSE)</f>
        <v>0</v>
      </c>
      <c r="H109" s="188" t="b">
        <f t="shared" si="4"/>
        <v>1</v>
      </c>
    </row>
    <row r="110" spans="1:8" x14ac:dyDescent="0.2">
      <c r="A110" s="1352" t="str">
        <f>IF(G110&gt;0,"50-"&amp;VLOOKUP('EstRev 6-11'!$A$199,'EstRev 6-11'!$A$5:$L$267,1,FALSE),"")</f>
        <v/>
      </c>
      <c r="B110" s="1353" t="str">
        <f>IF(G110&gt;0,VLOOKUP('EstRev 6-11'!$A$199,'EstRev 6-11'!$A$5:$L$267,2,FALSE),"")</f>
        <v/>
      </c>
      <c r="C110" s="1375" t="str">
        <f t="shared" si="5"/>
        <v/>
      </c>
      <c r="D110" s="827"/>
      <c r="E110" s="1376" t="str">
        <f t="shared" si="6"/>
        <v/>
      </c>
      <c r="G110" s="1368">
        <f>VLOOKUP('EstRev 6-11'!$A$199,'EstRev 6-11'!$A$5:$L$267,8,FALSE)</f>
        <v>0</v>
      </c>
      <c r="H110" s="188" t="b">
        <f t="shared" si="4"/>
        <v>1</v>
      </c>
    </row>
    <row r="111" spans="1:8" x14ac:dyDescent="0.2">
      <c r="A111" s="1353" t="str">
        <f>IF(G111&gt;0,"10-"&amp;VLOOKUP('EstRev 6-11'!$A$205,'EstRev 6-11'!$A$5:$L$267,1,FALSE),"")</f>
        <v/>
      </c>
      <c r="B111" s="1353" t="str">
        <f>IF(G111&gt;0,VLOOKUP('EstRev 6-11'!$A$205,'EstRev 6-11'!$A$5:$L$267,2,FALSE),"")</f>
        <v/>
      </c>
      <c r="C111" s="1375" t="str">
        <f t="shared" si="5"/>
        <v/>
      </c>
      <c r="D111" s="827"/>
      <c r="E111" s="1376" t="str">
        <f t="shared" si="6"/>
        <v/>
      </c>
      <c r="G111" s="1368">
        <f>VLOOKUP('EstRev 6-11'!$A$205,'EstRev 6-11'!$A$5:$L$267,4,FALSE)</f>
        <v>0</v>
      </c>
      <c r="H111" s="188" t="b">
        <f t="shared" si="4"/>
        <v>1</v>
      </c>
    </row>
    <row r="112" spans="1:8" x14ac:dyDescent="0.2">
      <c r="A112" s="1352" t="str">
        <f>IF(G112&gt;0,"20-"&amp;VLOOKUP('EstRev 6-11'!$A$205,'EstRev 6-11'!$A$5:$L$267,1,FALSE),"")</f>
        <v/>
      </c>
      <c r="B112" s="1353" t="str">
        <f>IF(G112&gt;0,VLOOKUP('EstRev 6-11'!$A$205,'EstRev 6-11'!$A$5:$L$267,2,FALSE),"")</f>
        <v/>
      </c>
      <c r="C112" s="1375" t="str">
        <f t="shared" si="5"/>
        <v/>
      </c>
      <c r="D112" s="827"/>
      <c r="E112" s="1376" t="str">
        <f t="shared" si="6"/>
        <v/>
      </c>
      <c r="G112" s="1368">
        <f>VLOOKUP('EstRev 6-11'!$A$205,'EstRev 6-11'!$A$5:$L$267,5,FALSE)</f>
        <v>0</v>
      </c>
      <c r="H112" s="188" t="b">
        <f t="shared" si="4"/>
        <v>1</v>
      </c>
    </row>
    <row r="113" spans="1:8" x14ac:dyDescent="0.2">
      <c r="A113" s="1352" t="str">
        <f>IF(G113&gt;0,"40-"&amp;VLOOKUP('EstRev 6-11'!$A$205,'EstRev 6-11'!$A$5:$L$267,1,FALSE),"")</f>
        <v/>
      </c>
      <c r="B113" s="1353" t="str">
        <f>IF(G113&gt;0,VLOOKUP('EstRev 6-11'!$A$205,'EstRev 6-11'!$A$5:$L$267,2,FALSE),"")</f>
        <v/>
      </c>
      <c r="C113" s="1375" t="str">
        <f t="shared" si="5"/>
        <v/>
      </c>
      <c r="D113" s="827"/>
      <c r="E113" s="1376" t="str">
        <f t="shared" si="6"/>
        <v/>
      </c>
      <c r="G113" s="1368">
        <f>VLOOKUP('EstRev 6-11'!$A$205,'EstRev 6-11'!$A$5:$L$267,7,FALSE)</f>
        <v>0</v>
      </c>
      <c r="H113" s="188" t="b">
        <f t="shared" si="4"/>
        <v>1</v>
      </c>
    </row>
    <row r="114" spans="1:8" x14ac:dyDescent="0.2">
      <c r="A114" s="1353" t="str">
        <f>IF(G114&gt;0,"50-"&amp;VLOOKUP('EstRev 6-11'!$A$205,'EstRev 6-11'!$A$5:$L$267,1,FALSE),"")</f>
        <v/>
      </c>
      <c r="B114" s="1353" t="str">
        <f>IF(G114&gt;0,VLOOKUP('EstRev 6-11'!$A$205,'EstRev 6-11'!$A$5:$L$267,2,FALSE),"")</f>
        <v/>
      </c>
      <c r="C114" s="1375" t="str">
        <f t="shared" si="5"/>
        <v/>
      </c>
      <c r="D114" s="827"/>
      <c r="E114" s="1376" t="str">
        <f t="shared" si="6"/>
        <v/>
      </c>
      <c r="G114" s="1368">
        <f>VLOOKUP('EstRev 6-11'!$A$205,'EstRev 6-11'!$A$5:$L$267,8,FALSE)</f>
        <v>0</v>
      </c>
      <c r="H114" s="188" t="b">
        <f t="shared" si="4"/>
        <v>1</v>
      </c>
    </row>
    <row r="115" spans="1:8" x14ac:dyDescent="0.2">
      <c r="A115" s="1352" t="str">
        <f>IF(G115&gt;0,"10-"&amp;VLOOKUP('EstRev 6-11'!$A$210,'EstRev 6-11'!$A$5:$L$267,1,FALSE),"")</f>
        <v/>
      </c>
      <c r="B115" s="1353" t="str">
        <f>IF(G115&gt;0,VLOOKUP('EstRev 6-11'!$A$210,'EstRev 6-11'!$A$5:$L$267,2,FALSE),"")</f>
        <v/>
      </c>
      <c r="C115" s="1375" t="str">
        <f t="shared" si="5"/>
        <v/>
      </c>
      <c r="D115" s="827"/>
      <c r="E115" s="1376" t="str">
        <f t="shared" si="6"/>
        <v/>
      </c>
      <c r="G115" s="1368">
        <f>VLOOKUP('EstRev 6-11'!$A$210,'EstRev 6-11'!$A$5:$L$267,4,FALSE)</f>
        <v>0</v>
      </c>
      <c r="H115" s="188" t="b">
        <f t="shared" si="4"/>
        <v>1</v>
      </c>
    </row>
    <row r="116" spans="1:8" x14ac:dyDescent="0.2">
      <c r="A116" s="1352" t="str">
        <f>IF(G116&gt;0,"20-"&amp;VLOOKUP('EstRev 6-11'!$A$210,'EstRev 6-11'!$A$5:$L$267,1,FALSE),"")</f>
        <v/>
      </c>
      <c r="B116" s="1353" t="str">
        <f>IF(G116&gt;0,VLOOKUP('EstRev 6-11'!$A$210,'EstRev 6-11'!$A$5:$L$267,2,FALSE),"")</f>
        <v/>
      </c>
      <c r="C116" s="1375" t="str">
        <f t="shared" si="5"/>
        <v/>
      </c>
      <c r="D116" s="827"/>
      <c r="E116" s="1376" t="str">
        <f t="shared" si="6"/>
        <v/>
      </c>
      <c r="G116" s="1368">
        <f>VLOOKUP('EstRev 6-11'!$A$210,'EstRev 6-11'!$A$5:$L$267,5,FALSE)</f>
        <v>0</v>
      </c>
      <c r="H116" s="188" t="b">
        <f t="shared" si="4"/>
        <v>1</v>
      </c>
    </row>
    <row r="117" spans="1:8" x14ac:dyDescent="0.2">
      <c r="A117" s="1353" t="str">
        <f>IF(G117&gt;0,"40-"&amp;VLOOKUP('EstRev 6-11'!$A$210,'EstRev 6-11'!$A$5:$L$267,1,FALSE),"")</f>
        <v/>
      </c>
      <c r="B117" s="1353" t="str">
        <f>IF(G117&gt;0,VLOOKUP('EstRev 6-11'!$A$210,'EstRev 6-11'!$A$5:$L$267,2,FALSE),"")</f>
        <v/>
      </c>
      <c r="C117" s="1375" t="str">
        <f t="shared" si="5"/>
        <v/>
      </c>
      <c r="D117" s="827"/>
      <c r="E117" s="1376" t="str">
        <f t="shared" si="6"/>
        <v/>
      </c>
      <c r="G117" s="1368">
        <f>VLOOKUP('EstRev 6-11'!$A$210,'EstRev 6-11'!$A$5:$L$267,7,FALSE)</f>
        <v>0</v>
      </c>
      <c r="H117" s="188" t="b">
        <f t="shared" si="4"/>
        <v>1</v>
      </c>
    </row>
    <row r="118" spans="1:8" x14ac:dyDescent="0.2">
      <c r="A118" s="1352" t="str">
        <f>IF(G118&gt;0,"50-"&amp;VLOOKUP('EstRev 6-11'!$A$210,'EstRev 6-11'!$A$5:$L$267,1,FALSE),"")</f>
        <v/>
      </c>
      <c r="B118" s="1353" t="str">
        <f>IF(G118&gt;0,VLOOKUP('EstRev 6-11'!$A$210,'EstRev 6-11'!$A$5:$L$267,2,FALSE),"")</f>
        <v/>
      </c>
      <c r="C118" s="1375" t="str">
        <f t="shared" si="5"/>
        <v/>
      </c>
      <c r="D118" s="827"/>
      <c r="E118" s="1376" t="str">
        <f t="shared" si="6"/>
        <v/>
      </c>
      <c r="G118" s="1368">
        <f>VLOOKUP('EstRev 6-11'!$A$210,'EstRev 6-11'!$A$5:$L$267,8,FALSE)</f>
        <v>0</v>
      </c>
      <c r="H118" s="188" t="b">
        <f t="shared" si="4"/>
        <v>1</v>
      </c>
    </row>
    <row r="119" spans="1:8" x14ac:dyDescent="0.2">
      <c r="A119" s="1352" t="str">
        <f>IF(G119&gt;0,"10-"&amp;VLOOKUP('EstRev 6-11'!$A$218,'EstRev 6-11'!$A$5:$L$267,1,FALSE),"")</f>
        <v/>
      </c>
      <c r="B119" s="1353" t="str">
        <f>IF(G119&gt;0,VLOOKUP('EstRev 6-11'!$A$218,'EstRev 6-11'!$A$5:$L$267,2,FALSE),"")</f>
        <v/>
      </c>
      <c r="C119" s="1375" t="str">
        <f t="shared" si="5"/>
        <v/>
      </c>
      <c r="D119" s="827"/>
      <c r="E119" s="1376" t="str">
        <f t="shared" si="6"/>
        <v/>
      </c>
      <c r="G119" s="1368">
        <f>VLOOKUP('EstRev 6-11'!$A$218,'EstRev 6-11'!$A$5:$L$267,4,FALSE)</f>
        <v>0</v>
      </c>
      <c r="H119" s="188" t="b">
        <f t="shared" si="4"/>
        <v>1</v>
      </c>
    </row>
    <row r="120" spans="1:8" x14ac:dyDescent="0.2">
      <c r="A120" s="1352" t="str">
        <f>IF(G120&gt;0,"20-"&amp;VLOOKUP('EstRev 6-11'!$A$218,'EstRev 6-11'!$A$5:$L$267,1,FALSE),"")</f>
        <v/>
      </c>
      <c r="B120" s="1353" t="str">
        <f>IF(G120&gt;0,VLOOKUP('EstRev 6-11'!$A$218,'EstRev 6-11'!$A$5:$L$267,2,FALSE),"")</f>
        <v/>
      </c>
      <c r="C120" s="1375" t="str">
        <f t="shared" si="5"/>
        <v/>
      </c>
      <c r="D120" s="827"/>
      <c r="E120" s="1376" t="str">
        <f t="shared" si="6"/>
        <v/>
      </c>
      <c r="G120" s="1368">
        <f>VLOOKUP('EstRev 6-11'!$A$218,'EstRev 6-11'!$A$5:$L$267,5,FALSE)</f>
        <v>0</v>
      </c>
      <c r="H120" s="188" t="b">
        <f t="shared" si="4"/>
        <v>1</v>
      </c>
    </row>
    <row r="121" spans="1:8" x14ac:dyDescent="0.2">
      <c r="A121" s="1353" t="str">
        <f>IF(G121&gt;0,"40-"&amp;VLOOKUP('EstRev 6-11'!$A$218,'EstRev 6-11'!$A$5:$L$267,1,FALSE),"")</f>
        <v/>
      </c>
      <c r="B121" s="1353" t="str">
        <f>IF(G121&gt;0,VLOOKUP('EstRev 6-11'!$A$218,'EstRev 6-11'!$A$5:$L$267,2,FALSE),"")</f>
        <v/>
      </c>
      <c r="C121" s="1375" t="str">
        <f t="shared" si="5"/>
        <v/>
      </c>
      <c r="D121" s="827"/>
      <c r="E121" s="1376" t="str">
        <f t="shared" si="6"/>
        <v/>
      </c>
      <c r="G121" s="1368">
        <f>VLOOKUP('EstRev 6-11'!$A$218,'EstRev 6-11'!$A$5:$L$267,7,FALSE)</f>
        <v>0</v>
      </c>
      <c r="H121" s="188" t="b">
        <f t="shared" si="4"/>
        <v>1</v>
      </c>
    </row>
    <row r="122" spans="1:8" x14ac:dyDescent="0.2">
      <c r="A122" s="1352" t="str">
        <f>IF(G122&gt;0,"50-"&amp;VLOOKUP('EstRev 6-11'!$A$218,'EstRev 6-11'!$A$5:$L$267,1,FALSE),"")</f>
        <v/>
      </c>
      <c r="B122" s="1353" t="str">
        <f>IF(G122&gt;0,VLOOKUP('EstRev 6-11'!$A$218,'EstRev 6-11'!$A$5:$L$267,2,FALSE),"")</f>
        <v/>
      </c>
      <c r="C122" s="1375" t="str">
        <f t="shared" si="5"/>
        <v/>
      </c>
      <c r="D122" s="827"/>
      <c r="E122" s="1376" t="str">
        <f t="shared" si="6"/>
        <v/>
      </c>
      <c r="G122" s="1368">
        <f>VLOOKUP('EstRev 6-11'!$A$218,'EstRev 6-11'!$A$5:$L$267,8,FALSE)</f>
        <v>0</v>
      </c>
      <c r="H122" s="188" t="b">
        <f t="shared" si="4"/>
        <v>1</v>
      </c>
    </row>
    <row r="123" spans="1:8" x14ac:dyDescent="0.2">
      <c r="A123" s="1352" t="str">
        <f>IF(G123&gt;0,"10-"&amp;VLOOKUP('EstRev 6-11'!$A$222,'EstRev 6-11'!$A$5:$L$267,1,FALSE),"")</f>
        <v/>
      </c>
      <c r="B123" s="1353" t="str">
        <f>IF(G123&gt;0,VLOOKUP('EstRev 6-11'!$A$222,'EstRev 6-11'!$A$5:$L$267,2,FALSE),"")</f>
        <v/>
      </c>
      <c r="C123" s="1375" t="str">
        <f t="shared" si="5"/>
        <v/>
      </c>
      <c r="D123" s="827"/>
      <c r="E123" s="1376" t="str">
        <f t="shared" si="6"/>
        <v/>
      </c>
      <c r="G123" s="1368">
        <f>VLOOKUP('EstRev 6-11'!$A$222,'EstRev 6-11'!$A$5:$L$267,4,FALSE)</f>
        <v>0</v>
      </c>
      <c r="H123" s="188" t="b">
        <f t="shared" si="4"/>
        <v>1</v>
      </c>
    </row>
    <row r="124" spans="1:8" x14ac:dyDescent="0.2">
      <c r="A124" s="1352" t="str">
        <f>IF(G124&gt;0,"20-"&amp;VLOOKUP('EstRev 6-11'!$A$222,'EstRev 6-11'!$A$5:$L$267,1,FALSE),"")</f>
        <v/>
      </c>
      <c r="B124" s="1353" t="str">
        <f>IF(G124&gt;0,VLOOKUP('EstRev 6-11'!$A$222,'EstRev 6-11'!$A$5:$L$267,2,FALSE),"")</f>
        <v/>
      </c>
      <c r="C124" s="1375" t="str">
        <f t="shared" si="5"/>
        <v/>
      </c>
      <c r="D124" s="827"/>
      <c r="E124" s="1376" t="str">
        <f t="shared" si="6"/>
        <v/>
      </c>
      <c r="G124" s="1368">
        <f>VLOOKUP('EstRev 6-11'!$A$222,'EstRev 6-11'!$A$5:$L$267,5,FALSE)</f>
        <v>0</v>
      </c>
      <c r="H124" s="188" t="b">
        <f t="shared" si="4"/>
        <v>1</v>
      </c>
    </row>
    <row r="125" spans="1:8" x14ac:dyDescent="0.2">
      <c r="A125" s="1353" t="str">
        <f>IF(G125&gt;0,"50-"&amp;VLOOKUP('EstRev 6-11'!$A$222,'EstRev 6-11'!$A$5:$L$267,1,FALSE),"")</f>
        <v/>
      </c>
      <c r="B125" s="1353" t="str">
        <f>IF(G125&gt;0,VLOOKUP('EstRev 6-11'!$A$222,'EstRev 6-11'!$A$5:$L$267,2,FALSE),"")</f>
        <v/>
      </c>
      <c r="C125" s="1375" t="str">
        <f t="shared" si="5"/>
        <v/>
      </c>
      <c r="D125" s="827"/>
      <c r="E125" s="1376" t="str">
        <f t="shared" si="6"/>
        <v/>
      </c>
      <c r="G125" s="1368">
        <f>VLOOKUP('EstRev 6-11'!$A$222,'EstRev 6-11'!$A$5:$L$267,8,FALSE)</f>
        <v>0</v>
      </c>
      <c r="H125" s="188" t="b">
        <f t="shared" si="4"/>
        <v>1</v>
      </c>
    </row>
    <row r="126" spans="1:8" x14ac:dyDescent="0.2">
      <c r="A126" s="1352" t="str">
        <f>IF(G126&gt;0,"10-"&amp;VLOOKUP('EstRev 6-11'!$A$267,'EstRev 6-11'!$A$5:$L$267,1,FALSE),"")</f>
        <v>10-4998</v>
      </c>
      <c r="B126" s="1353" t="str">
        <f>IF(G126&gt;0,VLOOKUP('EstRev 6-11'!$A$267,'EstRev 6-11'!$A$5:$L$267,2,FALSE),"")</f>
        <v>Other Restricted Grants Received from Fed. Govt. thru State (Describe &amp; Itemize)</v>
      </c>
      <c r="C126" s="1375" t="str">
        <f t="shared" si="5"/>
        <v>Other Restricted Grants Received from Fed. Govt. thru State</v>
      </c>
      <c r="D126" s="827" t="s">
        <v>3309</v>
      </c>
      <c r="E126" s="1376">
        <f t="shared" si="6"/>
        <v>445500</v>
      </c>
      <c r="G126" s="1368">
        <f>VLOOKUP('EstRev 6-11'!$A$267,'EstRev 6-11'!$A$5:$L$267,4,FALSE)</f>
        <v>445500</v>
      </c>
      <c r="H126" s="188" t="b">
        <f t="shared" si="4"/>
        <v>0</v>
      </c>
    </row>
    <row r="127" spans="1:8" x14ac:dyDescent="0.2">
      <c r="A127" s="1352" t="str">
        <f>IF(G127&gt;0,"20-"&amp;VLOOKUP('EstRev 6-11'!$A$267,'EstRev 6-11'!$A$5:$L$267,1,FALSE),"")</f>
        <v/>
      </c>
      <c r="B127" s="1353" t="str">
        <f>IF(G127&gt;0,VLOOKUP('EstRev 6-11'!$A$267,'EstRev 6-11'!$A$5:$L$267,2,FALSE),"")</f>
        <v/>
      </c>
      <c r="C127" s="1375" t="str">
        <f t="shared" si="5"/>
        <v/>
      </c>
      <c r="D127" s="827"/>
      <c r="E127" s="1376" t="str">
        <f t="shared" si="6"/>
        <v/>
      </c>
      <c r="G127" s="1368">
        <f>VLOOKUP('EstRev 6-11'!$A$267,'EstRev 6-11'!$A$5:$L$267,5,FALSE)</f>
        <v>0</v>
      </c>
      <c r="H127" s="188" t="b">
        <f t="shared" si="4"/>
        <v>1</v>
      </c>
    </row>
    <row r="128" spans="1:8" x14ac:dyDescent="0.2">
      <c r="A128" s="1352" t="str">
        <f>IF(G128&gt;0,"40-"&amp;VLOOKUP('EstRev 6-11'!$A$267,'EstRev 6-11'!$A$5:$L$267,1,FALSE),"")</f>
        <v/>
      </c>
      <c r="B128" s="1353" t="str">
        <f>IF(G128&gt;0,VLOOKUP('EstRev 6-11'!$A$267,'EstRev 6-11'!$A$5:$L$267,2,FALSE),"")</f>
        <v/>
      </c>
      <c r="C128" s="1375" t="str">
        <f t="shared" si="5"/>
        <v/>
      </c>
      <c r="D128" s="827"/>
      <c r="E128" s="1376" t="str">
        <f t="shared" si="6"/>
        <v/>
      </c>
      <c r="G128" s="1368">
        <f>VLOOKUP('EstRev 6-11'!$A$267,'EstRev 6-11'!$A$5:$L$267,7,FALSE)</f>
        <v>0</v>
      </c>
      <c r="H128" s="188" t="b">
        <f t="shared" si="4"/>
        <v>1</v>
      </c>
    </row>
    <row r="129" spans="1:8" x14ac:dyDescent="0.2">
      <c r="A129" s="1352" t="str">
        <f>IF(G129&gt;0,"50-"&amp;VLOOKUP('EstRev 6-11'!$A$267,'EstRev 6-11'!$A$5:$L$267,1,FALSE),"")</f>
        <v/>
      </c>
      <c r="B129" s="1353" t="str">
        <f>IF(G129&gt;0,VLOOKUP('EstRev 6-11'!$A$267,'EstRev 6-11'!$A$5:$L$267,2,FALSE),"")</f>
        <v/>
      </c>
      <c r="C129" s="1375" t="str">
        <f t="shared" si="5"/>
        <v/>
      </c>
      <c r="D129" s="827"/>
      <c r="E129" s="1376" t="str">
        <f t="shared" si="6"/>
        <v/>
      </c>
      <c r="G129" s="1368">
        <f>VLOOKUP('EstRev 6-11'!$A$267,'EstRev 6-11'!$A$5:$L$267,8,FALSE)</f>
        <v>0</v>
      </c>
      <c r="H129" s="188" t="b">
        <f t="shared" si="4"/>
        <v>1</v>
      </c>
    </row>
    <row r="130" spans="1:8" x14ac:dyDescent="0.2">
      <c r="A130" s="1352" t="str">
        <f>IF(G130&gt;0,"60-"&amp;VLOOKUP('EstRev 6-11'!$A$267,'EstRev 6-11'!$A$5:$L$267,1,FALSE),"")</f>
        <v>60-4998</v>
      </c>
      <c r="B130" s="1353" t="str">
        <f>IF(G130&gt;0,VLOOKUP('EstRev 6-11'!$A$267,'EstRev 6-11'!$A$5:$L$267,2,FALSE),"")</f>
        <v>Other Restricted Grants Received from Fed. Govt. thru State (Describe &amp; Itemize)</v>
      </c>
      <c r="C130" s="1375" t="str">
        <f t="shared" si="5"/>
        <v>Other Restricted Grants Received from Fed. Govt. thru State</v>
      </c>
      <c r="D130" s="827" t="s">
        <v>3310</v>
      </c>
      <c r="E130" s="1376">
        <f t="shared" si="6"/>
        <v>1380000</v>
      </c>
      <c r="G130" s="1368">
        <f>VLOOKUP('EstRev 6-11'!$A$267,'EstRev 6-11'!$A$5:$L$267,9,FALSE)</f>
        <v>1380000</v>
      </c>
      <c r="H130" s="188" t="b">
        <f t="shared" si="4"/>
        <v>0</v>
      </c>
    </row>
    <row r="131" spans="1:8" x14ac:dyDescent="0.2">
      <c r="A131" s="1352" t="str">
        <f>IF(G131&gt;0,"90-"&amp;VLOOKUP('EstRev 6-11'!$A$267,'EstRev 6-11'!$A$5:$L$267,1,FALSE),"")</f>
        <v/>
      </c>
      <c r="B131" s="1353" t="str">
        <f>IF(G131&gt;0,VLOOKUP('EstRev 6-11'!$A$267,'EstRev 6-11'!$A$5:$L$267,2,FALSE),"")</f>
        <v/>
      </c>
      <c r="C131" s="1375" t="str">
        <f t="shared" si="5"/>
        <v/>
      </c>
      <c r="D131" s="827"/>
      <c r="E131" s="1376" t="str">
        <f t="shared" si="6"/>
        <v/>
      </c>
      <c r="G131" s="1368">
        <f>VLOOKUP('EstRev 6-11'!$A$267,'EstRev 6-11'!$A$5:$L$267,12,FALSE)</f>
        <v>0</v>
      </c>
      <c r="H131" s="188" t="b">
        <f t="shared" si="4"/>
        <v>1</v>
      </c>
    </row>
    <row r="132" spans="1:8" x14ac:dyDescent="0.2">
      <c r="A132" s="1351" t="s">
        <v>830</v>
      </c>
      <c r="B132" s="1361"/>
      <c r="C132" s="1362"/>
      <c r="D132" s="1363"/>
      <c r="E132" s="1364"/>
      <c r="G132" s="1368">
        <v>1</v>
      </c>
    </row>
    <row r="133" spans="1:8" ht="25.5" x14ac:dyDescent="0.2">
      <c r="A133" s="1352" t="str">
        <f>IF(G133&gt;0,VLOOKUP('EstExp 12-20'!$A$43,'EstExp 12-20'!$A$5:$L$450,1,FALSE),"")</f>
        <v>10-2190</v>
      </c>
      <c r="B133" s="1352" t="str">
        <f>IF(G133&gt;0,VLOOKUP('EstExp 12-20'!$A$43,'EstExp 12-20'!$A$5:$L$450,2,FALSE),"")</f>
        <v>Other Support Services - Pupils (Describe &amp; Itemize)</v>
      </c>
      <c r="C133" s="1375" t="str">
        <f t="shared" si="5"/>
        <v>Other Support Services - Pupils</v>
      </c>
      <c r="D133" s="827" t="s">
        <v>3311</v>
      </c>
      <c r="E133" s="1376">
        <f t="shared" si="6"/>
        <v>3788500</v>
      </c>
      <c r="F133" s="1371"/>
      <c r="G133" s="1372">
        <f>VLOOKUP('EstExp 12-20'!$A$43,'EstExp 12-20'!$A$43:$L$450,12,FALSE)</f>
        <v>3788500</v>
      </c>
      <c r="H133" s="188" t="b">
        <f t="shared" si="4"/>
        <v>0</v>
      </c>
    </row>
    <row r="134" spans="1:8" x14ac:dyDescent="0.2">
      <c r="A134" s="1352" t="str">
        <f>IF(G134&gt;0,VLOOKUP('EstExp 12-20'!$A$58,'EstExp 12-20'!$A$5:$L$450,1,FALSE),"")</f>
        <v/>
      </c>
      <c r="B134" s="1352" t="str">
        <f>IF(G134&gt;0,VLOOKUP('EstExp 12-20'!$A$58,'EstExp 12-20'!$A$5:$L$450,2,FALSE),"")</f>
        <v/>
      </c>
      <c r="C134" s="1375" t="str">
        <f t="shared" si="5"/>
        <v/>
      </c>
      <c r="D134" s="827"/>
      <c r="E134" s="1376" t="str">
        <f t="shared" si="6"/>
        <v/>
      </c>
      <c r="F134" s="1371"/>
      <c r="G134" s="1372">
        <f>VLOOKUP('EstExp 12-20'!$A$58,'EstExp 12-20'!$A$43:$L$450,12,FALSE)</f>
        <v>0</v>
      </c>
      <c r="H134" s="188" t="b">
        <f t="shared" si="4"/>
        <v>1</v>
      </c>
    </row>
    <row r="135" spans="1:8" x14ac:dyDescent="0.2">
      <c r="A135" s="1352" t="str">
        <f>IF(G135&gt;0,VLOOKUP('EstExp 12-20'!$A$75,'EstExp 12-20'!$A$5:$L$450,1,FALSE),"")</f>
        <v>10-2900</v>
      </c>
      <c r="B135" s="1352" t="str">
        <f>IF(G135&gt;0,VLOOKUP('EstExp 12-20'!$A$75,'EstExp 12-20'!$A$5:$L$450,2,FALSE),"")</f>
        <v>Other Support Services - Misc. (Describe &amp; Itemize)</v>
      </c>
      <c r="C135" s="1375" t="str">
        <f t="shared" si="5"/>
        <v>Other Support Services - Misc.</v>
      </c>
      <c r="D135" s="827" t="s">
        <v>3312</v>
      </c>
      <c r="E135" s="1376">
        <f t="shared" si="6"/>
        <v>1789850</v>
      </c>
      <c r="F135" s="1371"/>
      <c r="G135" s="1372">
        <f>VLOOKUP('EstExp 12-20'!$A$75,'EstExp 12-20'!$A$43:$L$450,12,FALSE)</f>
        <v>1789850</v>
      </c>
      <c r="H135" s="188" t="b">
        <f t="shared" si="4"/>
        <v>0</v>
      </c>
    </row>
    <row r="136" spans="1:8" x14ac:dyDescent="0.2">
      <c r="A136" s="1352" t="str">
        <f>IF(G136&gt;0,VLOOKUP('EstExp 12-20'!$A$85,'EstExp 12-20'!$A$5:$L$450,1,FALSE),"")</f>
        <v/>
      </c>
      <c r="B136" s="1352" t="str">
        <f>IF(G136&gt;0,VLOOKUP('EstExp 12-20'!$A$85,'EstExp 12-20'!$A$5:$L$450,2,FALSE),"")</f>
        <v/>
      </c>
      <c r="C136" s="1375" t="str">
        <f t="shared" si="5"/>
        <v/>
      </c>
      <c r="D136" s="827"/>
      <c r="E136" s="1376" t="str">
        <f t="shared" si="6"/>
        <v/>
      </c>
      <c r="F136" s="1371"/>
      <c r="G136" s="1372">
        <f>VLOOKUP('EstExp 12-20'!$A$85,'EstExp 12-20'!$A$43:$L$450,12,FALSE)</f>
        <v>0</v>
      </c>
      <c r="H136" s="188" t="b">
        <f t="shared" si="4"/>
        <v>1</v>
      </c>
    </row>
    <row r="137" spans="1:8" x14ac:dyDescent="0.2">
      <c r="A137" s="1352" t="str">
        <f>IF(G137&gt;0,VLOOKUP('EstExp 12-20'!$A$93,'EstExp 12-20'!$A$5:$L$450,1,FALSE),"")</f>
        <v/>
      </c>
      <c r="B137" s="1352" t="str">
        <f>IF(G137&gt;0,VLOOKUP('EstExp 12-20'!$A$93,'EstExp 12-20'!$A$5:$L$450,2,FALSE),"")</f>
        <v/>
      </c>
      <c r="C137" s="1375" t="str">
        <f t="shared" si="5"/>
        <v/>
      </c>
      <c r="D137" s="827"/>
      <c r="E137" s="1376" t="str">
        <f t="shared" si="6"/>
        <v/>
      </c>
      <c r="F137" s="1371"/>
      <c r="G137" s="1372">
        <f>VLOOKUP('EstExp 12-20'!$A$93,'EstExp 12-20'!$A$43:$L$450,12,FALSE)</f>
        <v>0</v>
      </c>
      <c r="H137" s="188" t="b">
        <f t="shared" ref="H137:H172" si="8">ISBLANK(D137)</f>
        <v>1</v>
      </c>
    </row>
    <row r="138" spans="1:8" x14ac:dyDescent="0.2">
      <c r="A138" s="1352" t="str">
        <f>IF(G138&gt;0,VLOOKUP('EstExp 12-20'!$A$101,'EstExp 12-20'!$A$5:$L$450,1,FALSE),"")</f>
        <v/>
      </c>
      <c r="B138" s="1352" t="str">
        <f>IF(G138&gt;0,VLOOKUP('EstExp 12-20'!$A$101,'EstExp 12-20'!$A$5:$L$450,2,FALSE),"")</f>
        <v/>
      </c>
      <c r="C138" s="1375" t="str">
        <f t="shared" si="5"/>
        <v/>
      </c>
      <c r="D138" s="827"/>
      <c r="E138" s="1376" t="str">
        <f t="shared" si="6"/>
        <v/>
      </c>
      <c r="F138" s="1371"/>
      <c r="G138" s="1372">
        <f>VLOOKUP('EstExp 12-20'!$A$101,'EstExp 12-20'!$A$43:$L$450,12,FALSE)</f>
        <v>0</v>
      </c>
      <c r="H138" s="188" t="b">
        <f t="shared" si="8"/>
        <v>1</v>
      </c>
    </row>
    <row r="139" spans="1:8" x14ac:dyDescent="0.2">
      <c r="A139" s="1352" t="str">
        <f>IF(G139&gt;0,VLOOKUP('EstExp 12-20'!$A$111,'EstExp 12-20'!$A$5:$L$450,1,FALSE),"")</f>
        <v/>
      </c>
      <c r="B139" s="1352" t="str">
        <f>IF(G139&gt;0,VLOOKUP('EstExp 12-20'!$A$111,'EstExp 12-20'!$A$5:$L$450,2,FALSE),"")</f>
        <v/>
      </c>
      <c r="C139" s="1375" t="str">
        <f t="shared" ref="C139:C172" si="9">IF(B139="","",LEFT(B139, LEN(B139)-21))</f>
        <v/>
      </c>
      <c r="D139" s="827"/>
      <c r="E139" s="1376" t="str">
        <f t="shared" ref="E139:E172" si="10">IF(G139&gt;0,G139,"")</f>
        <v/>
      </c>
      <c r="F139" s="1371"/>
      <c r="G139" s="1372">
        <f>VLOOKUP('EstExp 12-20'!$A$111,'EstExp 12-20'!$A$43:$L$450,12,FALSE)</f>
        <v>0</v>
      </c>
      <c r="H139" s="188" t="b">
        <f t="shared" si="8"/>
        <v>1</v>
      </c>
    </row>
    <row r="140" spans="1:8" x14ac:dyDescent="0.2">
      <c r="A140" s="1352" t="str">
        <f>IF(G140&gt;0,VLOOKUP('EstExp 12-20'!$A$124,'EstExp 12-20'!$A$5:$L$450,1,FALSE),"")</f>
        <v/>
      </c>
      <c r="B140" s="1352" t="str">
        <f>IF(G140&gt;0,VLOOKUP('EstExp 12-20'!$A$124,'EstExp 12-20'!$A$5:$L$450,2,FALSE),"")</f>
        <v/>
      </c>
      <c r="C140" s="1375" t="str">
        <f t="shared" si="9"/>
        <v/>
      </c>
      <c r="D140" s="827"/>
      <c r="E140" s="1376" t="str">
        <f t="shared" si="10"/>
        <v/>
      </c>
      <c r="F140" s="1371"/>
      <c r="G140" s="1372">
        <f>VLOOKUP('EstExp 12-20'!$A$124,'EstExp 12-20'!$A$43:$L$450,12,FALSE)</f>
        <v>0</v>
      </c>
      <c r="H140" s="188" t="b">
        <f t="shared" si="8"/>
        <v>1</v>
      </c>
    </row>
    <row r="141" spans="1:8" ht="25.5" x14ac:dyDescent="0.2">
      <c r="A141" s="1352" t="str">
        <f>IF(G141&gt;0,VLOOKUP('EstExp 12-20'!$A$132,'EstExp 12-20'!$A$5:$L$450,1,FALSE),"")</f>
        <v>20-2900</v>
      </c>
      <c r="B141" s="1352" t="str">
        <f>IF(G141&gt;0,VLOOKUP('EstExp 12-20'!$A$132,'EstExp 12-20'!$A$5:$L$450,2,FALSE),"")</f>
        <v>Other Support Services - Misc. (Describe &amp; Itemize)</v>
      </c>
      <c r="C141" s="1375" t="str">
        <f t="shared" si="9"/>
        <v>Other Support Services - Misc.</v>
      </c>
      <c r="D141" s="827" t="s">
        <v>3313</v>
      </c>
      <c r="E141" s="1376">
        <f t="shared" si="10"/>
        <v>454000</v>
      </c>
      <c r="F141" s="1371"/>
      <c r="G141" s="1372">
        <f>VLOOKUP('EstExp 12-20'!$A$132,'EstExp 12-20'!$A$43:$L$450,12,FALSE)</f>
        <v>454000</v>
      </c>
      <c r="H141" s="188" t="b">
        <f t="shared" si="8"/>
        <v>0</v>
      </c>
    </row>
    <row r="142" spans="1:8" x14ac:dyDescent="0.2">
      <c r="A142" s="1352" t="str">
        <f>IF(G142&gt;0,VLOOKUP('EstExp 12-20'!$A$140,'EstExp 12-20'!$A$5:$L$450,1,FALSE),"")</f>
        <v/>
      </c>
      <c r="B142" s="1352" t="str">
        <f>IF(G142&gt;0,VLOOKUP('EstExp 12-20'!$A$140,'EstExp 12-20'!$A$5:$L$450,2,FALSE),"")</f>
        <v/>
      </c>
      <c r="C142" s="1375" t="str">
        <f t="shared" si="9"/>
        <v/>
      </c>
      <c r="D142" s="827"/>
      <c r="E142" s="1376" t="str">
        <f t="shared" si="10"/>
        <v/>
      </c>
      <c r="F142" s="1371"/>
      <c r="G142" s="1372">
        <f>VLOOKUP('EstExp 12-20'!$A$140,'EstExp 12-20'!$A$43:$L$450,12,FALSE)</f>
        <v>0</v>
      </c>
      <c r="H142" s="188" t="b">
        <f t="shared" si="8"/>
        <v>1</v>
      </c>
    </row>
    <row r="143" spans="1:8" x14ac:dyDescent="0.2">
      <c r="A143" s="1352" t="str">
        <f>IF(G143&gt;0,VLOOKUP('EstExp 12-20'!$A$150,'EstExp 12-20'!$A$5:$L$450,1,FALSE),"")</f>
        <v/>
      </c>
      <c r="B143" s="1352" t="str">
        <f>IF(G143&gt;0,VLOOKUP('EstExp 12-20'!$A$150,'EstExp 12-20'!$A$5:$L$450,2,FALSE),"")</f>
        <v/>
      </c>
      <c r="C143" s="1375" t="str">
        <f t="shared" si="9"/>
        <v/>
      </c>
      <c r="D143" s="827"/>
      <c r="E143" s="1376" t="str">
        <f t="shared" si="10"/>
        <v/>
      </c>
      <c r="F143" s="1371"/>
      <c r="G143" s="1372">
        <f>VLOOKUP('EstExp 12-20'!$A$150,'EstExp 12-20'!$A$43:$L$450,12,FALSE)</f>
        <v>0</v>
      </c>
      <c r="H143" s="188" t="b">
        <f t="shared" si="8"/>
        <v>1</v>
      </c>
    </row>
    <row r="144" spans="1:8" x14ac:dyDescent="0.2">
      <c r="A144" s="1352" t="str">
        <f>IF(G144&gt;0,VLOOKUP('EstExp 12-20'!$A$163,'EstExp 12-20'!$A$5:$L$450,1,FALSE),"")</f>
        <v/>
      </c>
      <c r="B144" s="1352" t="str">
        <f>IF(G144&gt;0,VLOOKUP('EstExp 12-20'!$A$163,'EstExp 12-20'!$A$5:$L$450,2,FALSE),"")</f>
        <v/>
      </c>
      <c r="C144" s="1375" t="str">
        <f t="shared" si="9"/>
        <v/>
      </c>
      <c r="D144" s="827"/>
      <c r="E144" s="1376" t="str">
        <f t="shared" si="10"/>
        <v/>
      </c>
      <c r="F144" s="1371"/>
      <c r="G144" s="1372">
        <f>VLOOKUP('EstExp 12-20'!$A$163,'EstExp 12-20'!$A$43:$L$450,12,FALSE)</f>
        <v>0</v>
      </c>
      <c r="H144" s="188" t="b">
        <f t="shared" si="8"/>
        <v>1</v>
      </c>
    </row>
    <row r="145" spans="1:8" x14ac:dyDescent="0.2">
      <c r="A145" s="1352" t="str">
        <f>IF(G145&gt;0,VLOOKUP('EstExp 12-20'!$A$171,'EstExp 12-20'!$A$5:$L$450,1,FALSE),"")</f>
        <v/>
      </c>
      <c r="B145" s="1352" t="str">
        <f>IF(G145&gt;0,VLOOKUP('EstExp 12-20'!$A$171,'EstExp 12-20'!$A$5:$L$450,2,FALSE),"")</f>
        <v/>
      </c>
      <c r="C145" s="1375" t="str">
        <f t="shared" si="9"/>
        <v/>
      </c>
      <c r="D145" s="827"/>
      <c r="E145" s="1376" t="str">
        <f t="shared" si="10"/>
        <v/>
      </c>
      <c r="F145" s="1371"/>
      <c r="G145" s="1372">
        <f>VLOOKUP('EstExp 12-20'!$A$171,'EstExp 12-20'!$A$43:$L$450,12,FALSE)</f>
        <v>0</v>
      </c>
      <c r="H145" s="188" t="b">
        <f t="shared" si="8"/>
        <v>1</v>
      </c>
    </row>
    <row r="146" spans="1:8" x14ac:dyDescent="0.2">
      <c r="A146" s="1352" t="str">
        <f>IF(G146&gt;0,VLOOKUP('EstExp 12-20'!$A$174,'EstExp 12-20'!$A$5:$L$450,1,FALSE),"")</f>
        <v>30-5300</v>
      </c>
      <c r="B146" s="1352" t="str">
        <f>IF(G146&gt;0,VLOOKUP('EstExp 12-20'!$A$174,'EstExp 12-20'!$A$5:$L$450,2,FALSE),"")</f>
        <v>Debt Service - Payments of Principal on Long-Term Debt 15 (Lease/Purchase Principal Retired) (Describe &amp; Itemize)</v>
      </c>
      <c r="C146" s="1375" t="str">
        <f>IF(B146="","",LEFT(B146, LEN(B146)-59))</f>
        <v>Debt Service - Payments of Principal on Long-Term Debt</v>
      </c>
      <c r="D146" s="827" t="s">
        <v>3328</v>
      </c>
      <c r="E146" s="1376">
        <f t="shared" si="10"/>
        <v>2475000</v>
      </c>
      <c r="F146" s="1371"/>
      <c r="G146" s="1372">
        <f>VLOOKUP('EstExp 12-20'!$A$174,'EstExp 12-20'!$A$43:$L$450,12,FALSE)</f>
        <v>2475000</v>
      </c>
      <c r="H146" s="188" t="b">
        <f t="shared" ref="H146" si="11">ISBLANK(D146)</f>
        <v>0</v>
      </c>
    </row>
    <row r="147" spans="1:8" x14ac:dyDescent="0.2">
      <c r="A147" s="1352" t="str">
        <f>IF(G147&gt;0,VLOOKUP('EstExp 12-20'!$A$175,'EstExp 12-20'!$A$5:$L$450,1,FALSE),"")</f>
        <v/>
      </c>
      <c r="B147" s="1352" t="str">
        <f>IF(G147&gt;0,VLOOKUP('EstExp 12-20'!$A$175,'EstExp 12-20'!$A$5:$L$450,2,FALSE),"")</f>
        <v/>
      </c>
      <c r="C147" s="1375" t="str">
        <f t="shared" si="9"/>
        <v/>
      </c>
      <c r="D147" s="827"/>
      <c r="E147" s="1376" t="str">
        <f t="shared" si="10"/>
        <v/>
      </c>
      <c r="F147" s="1371"/>
      <c r="G147" s="1372">
        <f>VLOOKUP('EstExp 12-20'!$A$175,'EstExp 12-20'!$A$43:$L$450,12,FALSE)</f>
        <v>0</v>
      </c>
      <c r="H147" s="188" t="b">
        <f t="shared" si="8"/>
        <v>1</v>
      </c>
    </row>
    <row r="148" spans="1:8" x14ac:dyDescent="0.2">
      <c r="A148" s="1352" t="str">
        <f>IF(G148&gt;0,VLOOKUP('EstExp 12-20'!$A$184,'EstExp 12-20'!$A$5:$L$450,1,FALSE),"")</f>
        <v/>
      </c>
      <c r="B148" s="1352" t="str">
        <f>IF(G148&gt;0,VLOOKUP('EstExp 12-20'!$A$184,'EstExp 12-20'!$A$5:$L$450,2,FALSE),"")</f>
        <v/>
      </c>
      <c r="C148" s="1375" t="str">
        <f t="shared" si="9"/>
        <v/>
      </c>
      <c r="D148" s="827"/>
      <c r="E148" s="1376" t="str">
        <f t="shared" si="10"/>
        <v/>
      </c>
      <c r="F148" s="1371"/>
      <c r="G148" s="1372">
        <f>VLOOKUP('EstExp 12-20'!$A$184,'EstExp 12-20'!$A$43:$L$450,12,FALSE)</f>
        <v>0</v>
      </c>
      <c r="H148" s="188" t="b">
        <f t="shared" si="8"/>
        <v>1</v>
      </c>
    </row>
    <row r="149" spans="1:8" x14ac:dyDescent="0.2">
      <c r="A149" s="1352" t="str">
        <f>IF(G149&gt;0,VLOOKUP('EstExp 12-20'!$A$187,'EstExp 12-20'!$A$5:$L$450,1,FALSE),"")</f>
        <v/>
      </c>
      <c r="B149" s="1352" t="str">
        <f>IF(G149&gt;0,VLOOKUP('EstExp 12-20'!$A$187,'EstExp 12-20'!$A$5:$L$450,2,FALSE),"")</f>
        <v/>
      </c>
      <c r="C149" s="1375" t="str">
        <f t="shared" si="9"/>
        <v/>
      </c>
      <c r="D149" s="827"/>
      <c r="E149" s="1376" t="str">
        <f t="shared" si="10"/>
        <v/>
      </c>
      <c r="F149" s="1371"/>
      <c r="G149" s="1372">
        <f>VLOOKUP('EstExp 12-20'!$A$187,'EstExp 12-20'!$A$43:$L$450,12,FALSE)</f>
        <v>0</v>
      </c>
      <c r="H149" s="188" t="b">
        <f t="shared" si="8"/>
        <v>1</v>
      </c>
    </row>
    <row r="150" spans="1:8" x14ac:dyDescent="0.2">
      <c r="A150" s="1352" t="str">
        <f>IF(G150&gt;0,VLOOKUP('EstExp 12-20'!$A$197,'EstExp 12-20'!$A$5:$L$450,1,FALSE),"")</f>
        <v/>
      </c>
      <c r="B150" s="1352" t="str">
        <f>IF(G150&gt;0,VLOOKUP('EstExp 12-20'!$A$197,'EstExp 12-20'!$A$5:$L$450,2,FALSE),"")</f>
        <v/>
      </c>
      <c r="C150" s="1375" t="str">
        <f t="shared" si="9"/>
        <v/>
      </c>
      <c r="D150" s="827"/>
      <c r="E150" s="1376" t="str">
        <f t="shared" si="10"/>
        <v/>
      </c>
      <c r="F150" s="1371"/>
      <c r="G150" s="1372">
        <f>VLOOKUP('EstExp 12-20'!$A$197,'EstExp 12-20'!$A$43:$L$450,12,FALSE)</f>
        <v>0</v>
      </c>
      <c r="H150" s="188" t="b">
        <f t="shared" si="8"/>
        <v>1</v>
      </c>
    </row>
    <row r="151" spans="1:8" x14ac:dyDescent="0.2">
      <c r="A151" s="1352" t="str">
        <f>IF(G151&gt;0,VLOOKUP('EstExp 12-20'!$A$199,'EstExp 12-20'!$A$5:$L$450,1,FALSE),"")</f>
        <v/>
      </c>
      <c r="B151" s="1352" t="str">
        <f>IF(G151&gt;0,VLOOKUP('EstExp 12-20'!$A$199,'EstExp 12-20'!$A$5:$L$450,2,FALSE),"")</f>
        <v/>
      </c>
      <c r="C151" s="1375" t="str">
        <f t="shared" si="9"/>
        <v/>
      </c>
      <c r="D151" s="827"/>
      <c r="E151" s="1376" t="str">
        <f t="shared" si="10"/>
        <v/>
      </c>
      <c r="F151" s="1371"/>
      <c r="G151" s="1372">
        <f>VLOOKUP('EstExp 12-20'!$A$199,'EstExp 12-20'!$A$43:$L$450,12,FALSE)</f>
        <v>0</v>
      </c>
      <c r="H151" s="188" t="b">
        <f t="shared" si="8"/>
        <v>1</v>
      </c>
    </row>
    <row r="152" spans="1:8" x14ac:dyDescent="0.2">
      <c r="A152" s="1352" t="str">
        <f>IF(G152&gt;0,VLOOKUP('EstExp 12-20'!$A$207,'EstExp 12-20'!$A$5:$L$450,1,FALSE),"")</f>
        <v/>
      </c>
      <c r="B152" s="1352" t="str">
        <f>IF(G152&gt;0,VLOOKUP('EstExp 12-20'!$A$207,'EstExp 12-20'!$A$5:$L$450,2,FALSE),"")</f>
        <v/>
      </c>
      <c r="C152" s="1375" t="str">
        <f t="shared" si="9"/>
        <v/>
      </c>
      <c r="D152" s="827"/>
      <c r="E152" s="1376" t="str">
        <f t="shared" si="10"/>
        <v/>
      </c>
      <c r="F152" s="1371"/>
      <c r="G152" s="1372">
        <f>VLOOKUP('EstExp 12-20'!$A$207,'EstExp 12-20'!$A$43:$L$450,12,FALSE)</f>
        <v>0</v>
      </c>
      <c r="H152" s="188" t="b">
        <f t="shared" si="8"/>
        <v>1</v>
      </c>
    </row>
    <row r="153" spans="1:8" x14ac:dyDescent="0.2">
      <c r="A153" s="1352" t="str">
        <f>IF(G153&gt;0,VLOOKUP('EstExp 12-20'!$A$210,'EstExp 12-20'!$A$5:$L$450,1,FALSE),"")</f>
        <v/>
      </c>
      <c r="B153" s="1352" t="str">
        <f>IF(G153&gt;0,VLOOKUP('EstExp 12-20'!$A$210,'EstExp 12-20'!$A$5:$L$450,2,FALSE),"")</f>
        <v/>
      </c>
      <c r="C153" s="1375" t="str">
        <f>IF(B153="","",LEFT(B153, LEN(B153)-59))</f>
        <v/>
      </c>
      <c r="D153" s="827"/>
      <c r="E153" s="1376" t="str">
        <f t="shared" si="10"/>
        <v/>
      </c>
      <c r="F153" s="1371"/>
      <c r="G153" s="1372">
        <f>VLOOKUP('EstExp 12-20'!$A$210,'EstExp 12-20'!$A$43:$L$450,12,FALSE)</f>
        <v>0</v>
      </c>
      <c r="H153" s="188" t="b">
        <f t="shared" ref="H153" si="12">ISBLANK(D153)</f>
        <v>1</v>
      </c>
    </row>
    <row r="154" spans="1:8" x14ac:dyDescent="0.2">
      <c r="A154" s="1352" t="str">
        <f>IF(G154&gt;0,VLOOKUP('EstExp 12-20'!$A$211,'EstExp 12-20'!$A$5:$L$450,1,FALSE),"")</f>
        <v/>
      </c>
      <c r="B154" s="1352" t="str">
        <f>IF(G154&gt;0,VLOOKUP('EstExp 12-20'!$A$211,'EstExp 12-20'!$A$5:$L$450,2,FALSE),"")</f>
        <v/>
      </c>
      <c r="C154" s="1375" t="str">
        <f>IF(B154="","",LEFT(B154, LEN(B154)-21))</f>
        <v/>
      </c>
      <c r="D154" s="827"/>
      <c r="E154" s="1376" t="str">
        <f t="shared" si="10"/>
        <v/>
      </c>
      <c r="F154" s="1371"/>
      <c r="G154" s="1372">
        <f>VLOOKUP('EstExp 12-20'!$A$211,'EstExp 12-20'!$A$43:$L$450,12,FALSE)</f>
        <v>0</v>
      </c>
      <c r="H154" s="188" t="b">
        <f t="shared" si="8"/>
        <v>1</v>
      </c>
    </row>
    <row r="155" spans="1:8" x14ac:dyDescent="0.2">
      <c r="A155" s="1352" t="str">
        <f>IF(G155&gt;0,VLOOKUP('EstExp 12-20'!$A$241,'EstExp 12-20'!$A$5:$L$450,1,FALSE),"")</f>
        <v/>
      </c>
      <c r="B155" s="1352" t="str">
        <f>IF(G155&gt;0,VLOOKUP('EstExp 12-20'!$A$241,'EstExp 12-20'!$A$5:$L$450,2,FALSE),"")</f>
        <v/>
      </c>
      <c r="C155" s="1375" t="str">
        <f t="shared" si="9"/>
        <v/>
      </c>
      <c r="D155" s="827"/>
      <c r="E155" s="1376" t="str">
        <f t="shared" si="10"/>
        <v/>
      </c>
      <c r="F155" s="1371"/>
      <c r="G155" s="1372">
        <f>VLOOKUP('EstExp 12-20'!$A$241,'EstExp 12-20'!$A$43:$L$450,12,FALSE)</f>
        <v>0</v>
      </c>
      <c r="H155" s="188" t="b">
        <f t="shared" si="8"/>
        <v>1</v>
      </c>
    </row>
    <row r="156" spans="1:8" x14ac:dyDescent="0.2">
      <c r="A156" s="1352" t="str">
        <f>IF(G156&gt;0,VLOOKUP('EstExp 12-20'!$A$257,'EstExp 12-20'!$A$5:$L$450,1,FALSE),"")</f>
        <v/>
      </c>
      <c r="B156" s="1352" t="str">
        <f>IF(G156&gt;0,VLOOKUP('EstExp 12-20'!$A$257,'EstExp 12-20'!$A$5:$L$450,2,FALSE),"")</f>
        <v/>
      </c>
      <c r="C156" s="1375" t="str">
        <f t="shared" si="9"/>
        <v/>
      </c>
      <c r="D156" s="827"/>
      <c r="E156" s="1376" t="str">
        <f t="shared" si="10"/>
        <v/>
      </c>
      <c r="F156" s="1371"/>
      <c r="G156" s="1372">
        <f>VLOOKUP('EstExp 12-20'!$A$257,'EstExp 12-20'!$A$43:$L$450,12,FALSE)</f>
        <v>0</v>
      </c>
      <c r="H156" s="188" t="b">
        <f t="shared" si="8"/>
        <v>1</v>
      </c>
    </row>
    <row r="157" spans="1:8" x14ac:dyDescent="0.2">
      <c r="A157" s="1352" t="str">
        <f>IF(G157&gt;0,VLOOKUP('EstExp 12-20'!$A$275,'EstExp 12-20'!$A$5:$L$450,1,FALSE),"")</f>
        <v/>
      </c>
      <c r="B157" s="1352" t="str">
        <f>IF(G157&gt;0,VLOOKUP('EstExp 12-20'!$A$275,'EstExp 12-20'!$A$5:$L$450,2,FALSE),"")</f>
        <v/>
      </c>
      <c r="C157" s="1375" t="str">
        <f t="shared" si="9"/>
        <v/>
      </c>
      <c r="D157" s="827"/>
      <c r="E157" s="1376" t="str">
        <f t="shared" si="10"/>
        <v/>
      </c>
      <c r="F157" s="1371"/>
      <c r="G157" s="1372">
        <f>VLOOKUP('EstExp 12-20'!$A$275,'EstExp 12-20'!$A$43:$L$450,12,FALSE)</f>
        <v>0</v>
      </c>
      <c r="H157" s="188" t="b">
        <f t="shared" si="8"/>
        <v>1</v>
      </c>
    </row>
    <row r="158" spans="1:8" x14ac:dyDescent="0.2">
      <c r="A158" s="1352" t="str">
        <f>IF(G158&gt;0,VLOOKUP('EstExp 12-20'!$A$289,'EstExp 12-20'!$A$5:$L$450,1,FALSE),"")</f>
        <v/>
      </c>
      <c r="B158" s="1352" t="str">
        <f>IF(G158&gt;0,VLOOKUP('EstExp 12-20'!$A$289,'EstExp 12-20'!$A$5:$L$450,2,FALSE),"")</f>
        <v/>
      </c>
      <c r="C158" s="1375" t="str">
        <f t="shared" si="9"/>
        <v/>
      </c>
      <c r="D158" s="827"/>
      <c r="E158" s="1376" t="str">
        <f t="shared" si="10"/>
        <v/>
      </c>
      <c r="F158" s="1371"/>
      <c r="G158" s="1372">
        <f>VLOOKUP('EstExp 12-20'!$A$289,'EstExp 12-20'!$A$43:$L$450,12,FALSE)</f>
        <v>0</v>
      </c>
      <c r="H158" s="188" t="b">
        <f t="shared" si="8"/>
        <v>1</v>
      </c>
    </row>
    <row r="159" spans="1:8" x14ac:dyDescent="0.2">
      <c r="A159" s="1352" t="str">
        <f>IF(G159&gt;0,VLOOKUP('EstExp 12-20'!$A$299,'EstExp 12-20'!$A$5:$L$450,1,FALSE),"")</f>
        <v/>
      </c>
      <c r="B159" s="1352" t="str">
        <f>IF(G159&gt;0,VLOOKUP('EstExp 12-20'!$A$299,'EstExp 12-20'!$A$5:$L$450,2,FALSE),"")</f>
        <v/>
      </c>
      <c r="C159" s="1375" t="str">
        <f t="shared" si="9"/>
        <v/>
      </c>
      <c r="D159" s="827"/>
      <c r="E159" s="1376" t="str">
        <f t="shared" si="10"/>
        <v/>
      </c>
      <c r="F159" s="1371"/>
      <c r="G159" s="1372">
        <f>VLOOKUP('EstExp 12-20'!$A$299,'EstExp 12-20'!$A$43:$L$450,12,FALSE)</f>
        <v>0</v>
      </c>
      <c r="H159" s="188" t="b">
        <f t="shared" si="8"/>
        <v>1</v>
      </c>
    </row>
    <row r="160" spans="1:8" x14ac:dyDescent="0.2">
      <c r="A160" s="1352" t="str">
        <f>IF(G160&gt;0,VLOOKUP('EstExp 12-20'!$A$306,'EstExp 12-20'!$A$5:$L$450,1,FALSE),"")</f>
        <v/>
      </c>
      <c r="B160" s="1352" t="str">
        <f>IF(G160&gt;0,VLOOKUP('EstExp 12-20'!$A$306,'EstExp 12-20'!$A$5:$L$450,2,FALSE),"")</f>
        <v/>
      </c>
      <c r="C160" s="1375" t="str">
        <f>IF(B160="","",LEFT(B160, LEN(B160)-21))</f>
        <v/>
      </c>
      <c r="D160" s="827"/>
      <c r="E160" s="1376" t="str">
        <f t="shared" si="10"/>
        <v/>
      </c>
      <c r="F160" s="1371"/>
      <c r="G160" s="1372">
        <f>VLOOKUP('EstExp 12-20'!$A$306,'EstExp 12-20'!$A$43:$L$450,12,FALSE)</f>
        <v>0</v>
      </c>
      <c r="H160" s="188" t="b">
        <f t="shared" si="8"/>
        <v>1</v>
      </c>
    </row>
    <row r="161" spans="1:8" x14ac:dyDescent="0.2">
      <c r="A161" s="1352" t="str">
        <f>IF(G161&gt;0,VLOOKUP('EstExp 12-20'!$A$352,'EstExp 12-20'!$A$5:$L$450,1,FALSE),"")</f>
        <v/>
      </c>
      <c r="B161" s="1352" t="str">
        <f>IF(G161&gt;0,VLOOKUP('EstExp 12-20'!$A$352,'EstExp 12-20'!$A$5:$L$450,2,FALSE),"")</f>
        <v/>
      </c>
      <c r="C161" s="1375" t="str">
        <f>IF(B161="","",LEFT(B161, LEN(B161)-21))</f>
        <v/>
      </c>
      <c r="D161" s="827"/>
      <c r="E161" s="1376" t="str">
        <f t="shared" ref="E161" si="13">IF(G161&gt;0,G161,"")</f>
        <v/>
      </c>
      <c r="F161" s="1371"/>
      <c r="G161" s="1372">
        <f>VLOOKUP('EstExp 12-20'!$A$352,'EstExp 12-20'!$A$43:$L$450,12,FALSE)</f>
        <v>0</v>
      </c>
      <c r="H161" s="188" t="b">
        <f t="shared" si="8"/>
        <v>1</v>
      </c>
    </row>
    <row r="162" spans="1:8" x14ac:dyDescent="0.2">
      <c r="A162" s="1352" t="str">
        <f>IF(G162&gt;0,VLOOKUP('EstExp 12-20'!$A$368,'EstExp 12-20'!$A$5:$L$450,1,FALSE),"")</f>
        <v/>
      </c>
      <c r="B162" s="1352" t="str">
        <f>IF(G162&gt;0,VLOOKUP('EstExp 12-20'!$A$368,'EstExp 12-20'!$A$5:$L$450,2,FALSE),"")</f>
        <v/>
      </c>
      <c r="C162" s="1375" t="str">
        <f t="shared" si="9"/>
        <v/>
      </c>
      <c r="D162" s="827"/>
      <c r="E162" s="1376" t="str">
        <f t="shared" si="10"/>
        <v/>
      </c>
      <c r="F162" s="1371"/>
      <c r="G162" s="1372">
        <f>VLOOKUP('EstExp 12-20'!$A$368,'EstExp 12-20'!$A$43:$L$450,12,FALSE)</f>
        <v>0</v>
      </c>
      <c r="H162" s="188" t="b">
        <f t="shared" si="8"/>
        <v>1</v>
      </c>
    </row>
    <row r="163" spans="1:8" x14ac:dyDescent="0.2">
      <c r="A163" s="1352" t="str">
        <f>IF(G163&gt;0,VLOOKUP('EstExp 12-20'!$A$386,'EstExp 12-20'!$A$5:$L$450,1,FALSE),"")</f>
        <v/>
      </c>
      <c r="B163" s="1352" t="str">
        <f>IF(G163&gt;0,VLOOKUP('EstExp 12-20'!$A$386,'EstExp 12-20'!$A$5:$L$450,2,FALSE),"")</f>
        <v/>
      </c>
      <c r="C163" s="1375" t="str">
        <f t="shared" si="9"/>
        <v/>
      </c>
      <c r="D163" s="827"/>
      <c r="E163" s="1376" t="str">
        <f t="shared" si="10"/>
        <v/>
      </c>
      <c r="F163" s="1371"/>
      <c r="G163" s="1372">
        <f>VLOOKUP('EstExp 12-20'!$A$386,'EstExp 12-20'!$A$43:$L$450,12,FALSE)</f>
        <v>0</v>
      </c>
      <c r="H163" s="188" t="b">
        <f t="shared" si="8"/>
        <v>1</v>
      </c>
    </row>
    <row r="164" spans="1:8" x14ac:dyDescent="0.2">
      <c r="A164" s="1352" t="str">
        <f>IF(G164&gt;0,VLOOKUP('EstExp 12-20'!$A$396,'EstExp 12-20'!$A$5:$L$450,1,FALSE),"")</f>
        <v/>
      </c>
      <c r="B164" s="1352" t="str">
        <f>IF(G164&gt;0,VLOOKUP('EstExp 12-20'!$A$396,'EstExp 12-20'!$A$5:$L$450,2,FALSE),"")</f>
        <v/>
      </c>
      <c r="C164" s="1375" t="str">
        <f t="shared" si="9"/>
        <v/>
      </c>
      <c r="D164" s="827"/>
      <c r="E164" s="1376" t="str">
        <f t="shared" si="10"/>
        <v/>
      </c>
      <c r="F164" s="1371"/>
      <c r="G164" s="1372">
        <f>VLOOKUP('EstExp 12-20'!$A$396,'EstExp 12-20'!$A$43:$L$450,12,FALSE)</f>
        <v>0</v>
      </c>
      <c r="H164" s="188" t="b">
        <f t="shared" si="8"/>
        <v>1</v>
      </c>
    </row>
    <row r="165" spans="1:8" x14ac:dyDescent="0.2">
      <c r="A165" s="1352" t="str">
        <f>IF(G165&gt;0,VLOOKUP('EstExp 12-20'!$A$404,'EstExp 12-20'!$A$5:$L$450,1,FALSE),"")</f>
        <v/>
      </c>
      <c r="B165" s="1352" t="str">
        <f>IF(G165&gt;0,VLOOKUP('EstExp 12-20'!$A$404,'EstExp 12-20'!$A$5:$L$450,2,FALSE),"")</f>
        <v/>
      </c>
      <c r="C165" s="1375" t="str">
        <f t="shared" si="9"/>
        <v/>
      </c>
      <c r="D165" s="827"/>
      <c r="E165" s="1376" t="str">
        <f t="shared" si="10"/>
        <v/>
      </c>
      <c r="F165" s="1371"/>
      <c r="G165" s="1372">
        <f>VLOOKUP('EstExp 12-20'!$A$404,'EstExp 12-20'!$A$43:$L$450,12,FALSE)</f>
        <v>0</v>
      </c>
      <c r="H165" s="188" t="b">
        <f t="shared" si="8"/>
        <v>1</v>
      </c>
    </row>
    <row r="166" spans="1:8" x14ac:dyDescent="0.2">
      <c r="A166" s="1352" t="str">
        <f>IF(G166&gt;0,VLOOKUP('EstExp 12-20'!$A$412,'EstExp 12-20'!$A$5:$L$450,1,FALSE),"")</f>
        <v/>
      </c>
      <c r="B166" s="1352" t="str">
        <f>IF(G166&gt;0,VLOOKUP('EstExp 12-20'!$A$412,'EstExp 12-20'!$A$5:$L$450,2,FALSE),"")</f>
        <v/>
      </c>
      <c r="C166" s="1375" t="str">
        <f t="shared" si="9"/>
        <v/>
      </c>
      <c r="D166" s="827"/>
      <c r="E166" s="1376" t="str">
        <f t="shared" si="10"/>
        <v/>
      </c>
      <c r="F166" s="1371"/>
      <c r="G166" s="1372">
        <f>VLOOKUP('EstExp 12-20'!$A$412,'EstExp 12-20'!$A$43:$L$450,12,FALSE)</f>
        <v>0</v>
      </c>
      <c r="H166" s="188" t="b">
        <f t="shared" si="8"/>
        <v>1</v>
      </c>
    </row>
    <row r="167" spans="1:8" x14ac:dyDescent="0.2">
      <c r="A167" s="1352" t="str">
        <f>IF(G167&gt;0,VLOOKUP('EstExp 12-20'!$A$422,'EstExp 12-20'!$A$5:$L$450,1,FALSE),"")</f>
        <v/>
      </c>
      <c r="B167" s="1352" t="str">
        <f>IF(G167&gt;0,VLOOKUP('EstExp 12-20'!$A$422,'EstExp 12-20'!$A$5:$L$450,2,FALSE),"")</f>
        <v/>
      </c>
      <c r="C167" s="1375" t="str">
        <f t="shared" si="9"/>
        <v/>
      </c>
      <c r="D167" s="827"/>
      <c r="E167" s="1376" t="str">
        <f t="shared" si="10"/>
        <v/>
      </c>
      <c r="F167" s="1371"/>
      <c r="G167" s="1372">
        <f>VLOOKUP('EstExp 12-20'!$A$422,'EstExp 12-20'!$A$43:$L$450,12,FALSE)</f>
        <v>0</v>
      </c>
      <c r="H167" s="188" t="b">
        <f t="shared" si="8"/>
        <v>1</v>
      </c>
    </row>
    <row r="168" spans="1:8" x14ac:dyDescent="0.2">
      <c r="A168" s="1352" t="str">
        <f>IF(G168&gt;0,VLOOKUP('EstExp 12-20'!$A$424,'EstExp 12-20'!$A$5:$L$450,1,FALSE),"")</f>
        <v/>
      </c>
      <c r="B168" s="1352" t="str">
        <f>IF(G168&gt;0,VLOOKUP('EstExp 12-20'!$A$424,'EstExp 12-20'!$A$5:$L$450,2,FALSE),"")</f>
        <v/>
      </c>
      <c r="C168" s="1375" t="str">
        <f>IF(B168="","",LEFT(B168, LEN(B168)-59))</f>
        <v/>
      </c>
      <c r="D168" s="827"/>
      <c r="E168" s="1376" t="str">
        <f t="shared" ref="E168:E169" si="14">IF(G168&gt;0,G168,"")</f>
        <v/>
      </c>
      <c r="F168" s="1371"/>
      <c r="G168" s="1372">
        <f>VLOOKUP('EstExp 12-20'!$A$424,'EstExp 12-20'!$A$43:$L$450,12,FALSE)</f>
        <v>0</v>
      </c>
      <c r="H168" s="188" t="b">
        <f t="shared" ref="H168:H169" si="15">ISBLANK(D168)</f>
        <v>1</v>
      </c>
    </row>
    <row r="169" spans="1:8" x14ac:dyDescent="0.2">
      <c r="A169" s="1352" t="str">
        <f>IF(G169&gt;0,VLOOKUP('EstExp 12-20'!$A$425,'EstExp 12-20'!$A$5:$L$450,1,FALSE),"")</f>
        <v/>
      </c>
      <c r="B169" s="1352" t="str">
        <f>IF(G169&gt;0,VLOOKUP('EstExp 12-20'!$A$425,'EstExp 12-20'!$A$5:$L$450,2,FALSE),"")</f>
        <v/>
      </c>
      <c r="C169" s="1375" t="str">
        <f t="shared" ref="C169" si="16">IF(B169="","",LEFT(B169, LEN(B169)-21))</f>
        <v/>
      </c>
      <c r="D169" s="827"/>
      <c r="E169" s="1376" t="str">
        <f t="shared" si="14"/>
        <v/>
      </c>
      <c r="F169" s="1371"/>
      <c r="G169" s="1372">
        <f>VLOOKUP('EstExp 12-20'!$A$425,'EstExp 12-20'!$A$43:$L$450,12,FALSE)</f>
        <v>0</v>
      </c>
      <c r="H169" s="188" t="b">
        <f t="shared" si="15"/>
        <v>1</v>
      </c>
    </row>
    <row r="170" spans="1:8" x14ac:dyDescent="0.2">
      <c r="A170" s="1352" t="str">
        <f>IF(G170&gt;0,VLOOKUP('EstExp 12-20'!$A$437,'EstExp 12-20'!$A$5:$L$450,1,FALSE),"")</f>
        <v/>
      </c>
      <c r="B170" s="1352" t="str">
        <f>IF(G170&gt;0,VLOOKUP('EstExp 12-20'!$A$437,'EstExp 12-20'!$A$5:$L$450,2,FALSE),"")</f>
        <v/>
      </c>
      <c r="C170" s="1375" t="str">
        <f t="shared" si="9"/>
        <v/>
      </c>
      <c r="D170" s="827"/>
      <c r="E170" s="1376" t="str">
        <f t="shared" si="10"/>
        <v/>
      </c>
      <c r="F170" s="1371"/>
      <c r="G170" s="1372">
        <f>VLOOKUP('EstExp 12-20'!$A$437,'EstExp 12-20'!$A$43:$L$450,12,FALSE)</f>
        <v>0</v>
      </c>
      <c r="H170" s="188" t="b">
        <f t="shared" si="8"/>
        <v>1</v>
      </c>
    </row>
    <row r="171" spans="1:8" x14ac:dyDescent="0.2">
      <c r="A171" s="1352" t="str">
        <f>IF(G171&gt;0,VLOOKUP('EstExp 12-20'!$A$442,'EstExp 12-20'!$A$5:$L$450,1,FALSE),"")</f>
        <v/>
      </c>
      <c r="B171" s="1352" t="str">
        <f>IF(G171&gt;0,VLOOKUP('EstExp 12-20'!$A$442,'EstExp 12-20'!$A$5:$L$450,2,FALSE),"")</f>
        <v/>
      </c>
      <c r="C171" s="1375" t="str">
        <f t="shared" si="9"/>
        <v/>
      </c>
      <c r="D171" s="827"/>
      <c r="E171" s="1376" t="str">
        <f t="shared" si="10"/>
        <v/>
      </c>
      <c r="F171" s="1371"/>
      <c r="G171" s="1372">
        <f>VLOOKUP('EstExp 12-20'!$A$442,'EstExp 12-20'!$A$43:$L$450,12,FALSE)</f>
        <v>0</v>
      </c>
      <c r="H171" s="188" t="b">
        <f t="shared" si="8"/>
        <v>1</v>
      </c>
    </row>
    <row r="172" spans="1:8" x14ac:dyDescent="0.2">
      <c r="A172" s="1352" t="str">
        <f>IF(G172&gt;0,VLOOKUP('EstExp 12-20'!$A$447,'EstExp 12-20'!$A$5:$L$450,1,FALSE),"")</f>
        <v/>
      </c>
      <c r="B172" s="1353" t="str">
        <f>IF(G172&gt;0,VLOOKUP('EstExp 12-20'!$A$447,'EstExp 12-20'!$A$5:$L$450,2,FALSE),"")</f>
        <v/>
      </c>
      <c r="C172" s="1375" t="str">
        <f t="shared" si="9"/>
        <v/>
      </c>
      <c r="D172" s="827"/>
      <c r="E172" s="1376" t="str">
        <f t="shared" si="10"/>
        <v/>
      </c>
      <c r="F172" s="1371"/>
      <c r="G172" s="1372">
        <f>VLOOKUP('EstExp 12-20'!$A$447,'EstExp 12-20'!$A$43:$L$450,12,FALSE)</f>
        <v>0</v>
      </c>
      <c r="H172" s="188" t="b">
        <f t="shared" si="8"/>
        <v>1</v>
      </c>
    </row>
    <row r="173" spans="1:8" x14ac:dyDescent="0.2">
      <c r="A173" s="1352" t="str">
        <f>IF(G173&gt;0,VLOOKUP('EstExp 12-20'!$A$450,'EstExp 12-20'!$A$5:$L$450,1,FALSE),"")</f>
        <v/>
      </c>
      <c r="B173" s="1353" t="str">
        <f>IF(G173&gt;0,VLOOKUP('EstExp 12-20'!$A$450,'EstExp 12-20'!$A$5:$L$450,2,FALSE),"")</f>
        <v/>
      </c>
      <c r="C173" s="1375" t="str">
        <f>IF(B173="","",LEFT(B173, LEN(B173)-59))</f>
        <v/>
      </c>
      <c r="D173" s="827"/>
      <c r="E173" s="1376" t="str">
        <f t="shared" ref="E173" si="17">IF(G173&gt;0,G173,"")</f>
        <v/>
      </c>
      <c r="F173" s="1371"/>
      <c r="G173" s="1372">
        <f>VLOOKUP('EstExp 12-20'!$A$450,'EstExp 12-20'!$A$43:$L$450,12,FALSE)</f>
        <v>0</v>
      </c>
      <c r="H173" s="188" t="b">
        <f t="shared" ref="H173" si="18">ISBLANK(D173)</f>
        <v>1</v>
      </c>
    </row>
    <row r="174" spans="1:8" s="1373" customFormat="1" ht="13.5" thickBot="1" x14ac:dyDescent="0.25">
      <c r="A174" s="1354"/>
      <c r="B174" s="1354"/>
      <c r="C174" s="1365"/>
      <c r="D174" s="1366"/>
      <c r="E174" s="1367"/>
      <c r="G174" s="1373">
        <v>1</v>
      </c>
      <c r="H174" s="1374"/>
    </row>
    <row r="175" spans="1:8" ht="13.5" thickTop="1" x14ac:dyDescent="0.2">
      <c r="G175" s="1373">
        <f>COUNTIF(G8:G131,"&gt;0")+COUNTIF(G133:G173,"&gt;0")</f>
        <v>13</v>
      </c>
      <c r="H175" s="1374">
        <f>COUNTIF(H8:H173,"FALSE")</f>
        <v>13</v>
      </c>
    </row>
  </sheetData>
  <sheetProtection algorithmName="SHA-512" hashValue="+ZWL69ohnqS0P4hQGI3B7CWkOj9kZnSNIrigv3L8w5QZn5bHhXkkdbiMlG/qVrmBdADCcL1UdQC7Y5PQuJ8Suw==" saltValue="pgU5Y3jXyMiUqpa8gx/c2Q==" spinCount="100000" sheet="1" objects="1" scenarios="1"/>
  <mergeCells count="1">
    <mergeCell ref="C4:E4"/>
  </mergeCells>
  <phoneticPr fontId="6" type="noConversion"/>
  <pageMargins left="0.55000000000000004" right="0.48" top="0.72" bottom="0.7" header="0.5" footer="0.5"/>
  <pageSetup scale="87" firstPageNumber="21" fitToHeight="0" orientation="portrait"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B1:G49"/>
  <sheetViews>
    <sheetView showGridLines="0" showZeros="0" zoomScale="125" zoomScaleNormal="125" workbookViewId="0"/>
  </sheetViews>
  <sheetFormatPr defaultColWidth="9.140625" defaultRowHeight="12.75" x14ac:dyDescent="0.2"/>
  <cols>
    <col min="1" max="1" width="2.28515625" style="269" customWidth="1"/>
    <col min="2" max="2" width="28.140625" style="269" customWidth="1"/>
    <col min="3" max="7" width="16.7109375" style="269" customWidth="1"/>
    <col min="8" max="16384" width="9.140625" style="269"/>
  </cols>
  <sheetData>
    <row r="1" spans="2:7" s="511" customFormat="1" ht="39.75" customHeight="1" x14ac:dyDescent="0.2">
      <c r="B1" s="1747" t="s">
        <v>790</v>
      </c>
      <c r="C1" s="1748"/>
      <c r="D1" s="1748"/>
      <c r="E1" s="1748"/>
      <c r="F1" s="1748"/>
      <c r="G1" s="1749"/>
    </row>
    <row r="2" spans="2:7" ht="33.75" x14ac:dyDescent="0.2">
      <c r="B2" s="204" t="s">
        <v>634</v>
      </c>
      <c r="C2" s="512" t="s">
        <v>619</v>
      </c>
      <c r="D2" s="512" t="s">
        <v>620</v>
      </c>
      <c r="E2" s="512" t="s">
        <v>621</v>
      </c>
      <c r="F2" s="512" t="s">
        <v>622</v>
      </c>
      <c r="G2" s="512" t="s">
        <v>469</v>
      </c>
    </row>
    <row r="3" spans="2:7" s="516" customFormat="1" x14ac:dyDescent="0.2">
      <c r="B3" s="513" t="s">
        <v>467</v>
      </c>
      <c r="C3" s="514">
        <f>'BudgetSum 2-4'!C9</f>
        <v>79244000</v>
      </c>
      <c r="D3" s="514">
        <f>'BudgetSum 2-4'!D9</f>
        <v>8220000</v>
      </c>
      <c r="E3" s="514">
        <f>'BudgetSum 2-4'!F9</f>
        <v>1250000</v>
      </c>
      <c r="F3" s="514">
        <f>'BudgetSum 2-4'!I9</f>
        <v>0</v>
      </c>
      <c r="G3" s="515">
        <f>SUM(C3:F3)</f>
        <v>88714000</v>
      </c>
    </row>
    <row r="4" spans="2:7" s="516" customFormat="1" ht="13.5" thickBot="1" x14ac:dyDescent="0.25">
      <c r="B4" s="513" t="s">
        <v>468</v>
      </c>
      <c r="C4" s="517">
        <f>'BudgetSum 2-4'!C19</f>
        <v>79244000</v>
      </c>
      <c r="D4" s="517">
        <f>'BudgetSum 2-4'!D19</f>
        <v>8220000</v>
      </c>
      <c r="E4" s="517">
        <f>'BudgetSum 2-4'!F19</f>
        <v>1250000</v>
      </c>
      <c r="F4" s="518"/>
      <c r="G4" s="519">
        <f>SUM(C4:F4)</f>
        <v>88714000</v>
      </c>
    </row>
    <row r="5" spans="2:7" s="516" customFormat="1" ht="14.25" thickTop="1" thickBot="1" x14ac:dyDescent="0.25">
      <c r="B5" s="520" t="s">
        <v>441</v>
      </c>
      <c r="C5" s="521">
        <f>(C3-C4)</f>
        <v>0</v>
      </c>
      <c r="D5" s="521">
        <f>(D3-D4)</f>
        <v>0</v>
      </c>
      <c r="E5" s="521">
        <f>(E3-E4)</f>
        <v>0</v>
      </c>
      <c r="F5" s="517">
        <f>(F3-F4)</f>
        <v>0</v>
      </c>
      <c r="G5" s="522">
        <f>SUM(G3-G4)</f>
        <v>0</v>
      </c>
    </row>
    <row r="6" spans="2:7" s="516" customFormat="1" ht="14.25" thickTop="1" thickBot="1" x14ac:dyDescent="0.25">
      <c r="B6" s="523" t="str">
        <f>"Estimated Fund Balance - June 30, "&amp;'B23'!E2</f>
        <v>Estimated Fund Balance - June 30, 2023</v>
      </c>
      <c r="C6" s="524">
        <f>'BudgetSum 2-4'!C81</f>
        <v>21888590</v>
      </c>
      <c r="D6" s="524">
        <f>'BudgetSum 2-4'!D81</f>
        <v>2879273</v>
      </c>
      <c r="E6" s="524">
        <f>'BudgetSum 2-4'!F81</f>
        <v>2579010</v>
      </c>
      <c r="F6" s="524">
        <f>'BudgetSum 2-4'!I81</f>
        <v>4147137</v>
      </c>
      <c r="G6" s="522">
        <f>SUM(C6:F6)</f>
        <v>31494010</v>
      </c>
    </row>
    <row r="7" spans="2:7" ht="53.1" customHeight="1" thickTop="1" x14ac:dyDescent="0.2">
      <c r="D7" s="1751" t="str">
        <f>IF(Cover!B3="X", "Deficit Reduction Plan is not required", IF(AND(G5&lt;0,G6&gt;=0,ABS(G5*3)&gt;ABS(G6)),B17,IF(AND(G5&lt;0,G6&gt;0,ABS(G5*3)&lt;=ABS(G6)),B18,IF(AND(G5&lt;0,G6&lt;0),B17,IF(G6=0,B20,B19)))))</f>
        <v>Balanced budget; no Deficit Reduction Plan is required.</v>
      </c>
      <c r="E7" s="1752"/>
      <c r="F7" s="1752"/>
      <c r="G7" s="1753"/>
    </row>
    <row r="8" spans="2:7" ht="10.5" customHeight="1" x14ac:dyDescent="0.2">
      <c r="B8" s="1756" t="str">
        <f>"A deficit reduction plan is required if the local board of education adopts (or amends) the "&amp;'B23'!E2-1&amp;-'B23'!E2</f>
        <v>A deficit reduction plan is required if the local board of education adopts (or amends) the 2022-2023</v>
      </c>
      <c r="C8" s="1756"/>
      <c r="D8" s="1756"/>
      <c r="E8" s="1757" t="s">
        <v>3043</v>
      </c>
      <c r="F8" s="1757"/>
    </row>
    <row r="9" spans="2:7" ht="22.5" customHeight="1" x14ac:dyDescent="0.2">
      <c r="B9" s="1758" t="s">
        <v>3046</v>
      </c>
      <c r="C9" s="1758"/>
      <c r="D9" s="1758"/>
      <c r="E9" s="1758"/>
      <c r="F9" s="1758"/>
    </row>
    <row r="10" spans="2:7" ht="3.75" customHeight="1" x14ac:dyDescent="0.2">
      <c r="B10" s="525"/>
      <c r="C10" s="526"/>
      <c r="D10" s="526"/>
      <c r="E10" s="526"/>
      <c r="F10" s="527"/>
    </row>
    <row r="11" spans="2:7" ht="27.75" customHeight="1" x14ac:dyDescent="0.2">
      <c r="B11" s="1754" t="s">
        <v>699</v>
      </c>
      <c r="C11" s="1755"/>
      <c r="D11" s="1755"/>
      <c r="E11" s="1755"/>
      <c r="F11" s="1755"/>
      <c r="G11" s="528"/>
    </row>
    <row r="12" spans="2:7" ht="3.75" customHeight="1" x14ac:dyDescent="0.2">
      <c r="B12" s="529"/>
      <c r="C12" s="530"/>
      <c r="D12" s="530"/>
      <c r="E12" s="530"/>
      <c r="F12" s="530"/>
      <c r="G12" s="528"/>
    </row>
    <row r="13" spans="2:7" x14ac:dyDescent="0.2">
      <c r="B13" s="1760" t="str">
        <f>"Per School Code (105 ILCS 5/17-1) - If the Deficit AFR Summary Information tab from the "&amp;'B23'!E2-2&amp;"-"&amp;'B23'!E2-1</f>
        <v>Per School Code (105 ILCS 5/17-1) - If the Deficit AFR Summary Information tab from the 2021-2022</v>
      </c>
      <c r="C13" s="1760"/>
      <c r="D13" s="1760"/>
      <c r="E13" s="1761" t="s">
        <v>3044</v>
      </c>
      <c r="F13" s="1761"/>
      <c r="G13" s="528"/>
    </row>
    <row r="14" spans="2:7" ht="26.25" customHeight="1" x14ac:dyDescent="0.2">
      <c r="B14" s="1759" t="s">
        <v>3045</v>
      </c>
      <c r="C14" s="1759"/>
      <c r="D14" s="1759"/>
      <c r="E14" s="1759"/>
      <c r="F14" s="1759"/>
      <c r="G14" s="528"/>
    </row>
    <row r="15" spans="2:7" ht="14.25" customHeight="1" x14ac:dyDescent="0.2">
      <c r="B15" s="692" t="s">
        <v>217</v>
      </c>
      <c r="C15" s="531"/>
      <c r="D15" s="531"/>
      <c r="E15" s="531"/>
      <c r="F15" s="532"/>
      <c r="G15" s="528"/>
    </row>
    <row r="16" spans="2:7" ht="30.75" customHeight="1" x14ac:dyDescent="0.2">
      <c r="B16" s="533"/>
      <c r="C16" s="534"/>
      <c r="D16" s="534"/>
      <c r="E16" s="534"/>
      <c r="F16" s="528"/>
      <c r="G16" s="528"/>
    </row>
    <row r="17" spans="2:7" ht="40.5" hidden="1" customHeight="1" x14ac:dyDescent="0.2">
      <c r="B17" s="1750" t="s">
        <v>3024</v>
      </c>
      <c r="C17" s="1750"/>
      <c r="D17" s="1750"/>
      <c r="E17" s="1750"/>
      <c r="F17" s="1750"/>
      <c r="G17" s="269" t="s">
        <v>3030</v>
      </c>
    </row>
    <row r="18" spans="2:7" hidden="1" x14ac:dyDescent="0.2">
      <c r="B18" s="269" t="s">
        <v>3025</v>
      </c>
      <c r="G18" s="281" t="s">
        <v>3031</v>
      </c>
    </row>
    <row r="19" spans="2:7" hidden="1" x14ac:dyDescent="0.2">
      <c r="B19" s="269" t="s">
        <v>3026</v>
      </c>
      <c r="G19" s="281" t="s">
        <v>3031</v>
      </c>
    </row>
    <row r="20" spans="2:7" hidden="1" x14ac:dyDescent="0.2">
      <c r="B20" s="269" t="s">
        <v>349</v>
      </c>
      <c r="G20" s="269" t="s">
        <v>3028</v>
      </c>
    </row>
    <row r="22" spans="2:7" x14ac:dyDescent="0.2">
      <c r="C22" s="535"/>
    </row>
    <row r="49" spans="4:4" x14ac:dyDescent="0.2">
      <c r="D49" s="281"/>
    </row>
  </sheetData>
  <sheetProtection algorithmName="SHA-512" hashValue="/gUL/9/GKqcmUZzfKZ+Xdy219Q1FWvie2sgG/+kFAiBOb8XE92kaWATUO19bMLywdvlMUIoXqjjhMFj3veJWfQ==" saltValue="s2tbV8ktgwFjNBWRAvmZN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6"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Z51"/>
  <sheetViews>
    <sheetView showGridLines="0" zoomScaleNormal="100" workbookViewId="0">
      <pane xSplit="2" ySplit="6" topLeftCell="C7" activePane="bottomRight" state="frozenSplit"/>
      <selection pane="topRight"/>
      <selection pane="bottomLeft"/>
      <selection pane="bottomRight" activeCell="C7" sqref="C7"/>
    </sheetView>
  </sheetViews>
  <sheetFormatPr defaultColWidth="9.140625" defaultRowHeight="12.75" x14ac:dyDescent="0.2"/>
  <cols>
    <col min="1" max="1" width="46.28515625" style="1381" customWidth="1"/>
    <col min="2" max="2" width="5.42578125" style="153" customWidth="1"/>
    <col min="3" max="22" width="13.7109375" style="153" customWidth="1"/>
    <col min="23" max="26" width="14.7109375" style="153" customWidth="1"/>
    <col min="27" max="27" width="2.7109375" style="153" customWidth="1"/>
    <col min="28" max="16384" width="9.140625" style="153"/>
  </cols>
  <sheetData>
    <row r="1" spans="1:26" ht="22.35" customHeight="1" x14ac:dyDescent="0.2">
      <c r="A1" s="1429" t="s">
        <v>791</v>
      </c>
      <c r="B1" s="1430"/>
      <c r="C1" s="1762" t="s">
        <v>219</v>
      </c>
      <c r="D1" s="1763"/>
      <c r="E1" s="1763"/>
      <c r="F1" s="1763"/>
      <c r="G1" s="1764"/>
      <c r="H1" s="1431"/>
      <c r="I1" s="1432"/>
      <c r="J1" s="1432"/>
      <c r="K1" s="1432"/>
      <c r="L1" s="1433"/>
      <c r="M1" s="1434"/>
      <c r="N1" s="1434"/>
      <c r="O1" s="1434"/>
      <c r="P1" s="1434"/>
      <c r="Q1" s="1434"/>
      <c r="R1" s="1431"/>
      <c r="S1" s="1432"/>
      <c r="T1" s="1432"/>
      <c r="U1" s="1432"/>
      <c r="V1" s="1433"/>
      <c r="W1" s="1762" t="s">
        <v>451</v>
      </c>
      <c r="X1" s="1763"/>
      <c r="Y1" s="1763"/>
      <c r="Z1" s="1764"/>
    </row>
    <row r="2" spans="1:26" ht="11.25" customHeight="1" x14ac:dyDescent="0.2">
      <c r="A2" s="1435"/>
      <c r="B2" s="1436"/>
      <c r="C2" s="1777" t="s">
        <v>450</v>
      </c>
      <c r="D2" s="1778"/>
      <c r="E2" s="1778"/>
      <c r="F2" s="1778"/>
      <c r="G2" s="1779"/>
      <c r="H2" s="1767" t="s">
        <v>450</v>
      </c>
      <c r="I2" s="1768"/>
      <c r="J2" s="1768"/>
      <c r="K2" s="1768"/>
      <c r="L2" s="1769"/>
      <c r="M2" s="1777" t="s">
        <v>450</v>
      </c>
      <c r="N2" s="1778"/>
      <c r="O2" s="1778"/>
      <c r="P2" s="1778"/>
      <c r="Q2" s="1779"/>
      <c r="R2" s="1767" t="s">
        <v>450</v>
      </c>
      <c r="S2" s="1768"/>
      <c r="T2" s="1768"/>
      <c r="U2" s="1768"/>
      <c r="V2" s="1769"/>
      <c r="W2" s="1780" t="s">
        <v>452</v>
      </c>
      <c r="X2" s="1778"/>
      <c r="Y2" s="1778"/>
      <c r="Z2" s="1781"/>
    </row>
    <row r="3" spans="1:26" ht="13.5" thickBot="1" x14ac:dyDescent="0.25">
      <c r="A3" s="1437">
        <f>Cover!H14</f>
        <v>5016202017</v>
      </c>
      <c r="B3" s="1438"/>
      <c r="C3" s="1774" t="str">
        <f>"FY"&amp;'B23'!E2-1&amp;-'B23'!E2</f>
        <v>FY2022-2023</v>
      </c>
      <c r="D3" s="1775"/>
      <c r="E3" s="1775"/>
      <c r="F3" s="1775"/>
      <c r="G3" s="1776"/>
      <c r="H3" s="1770" t="str">
        <f>"FY"&amp;'B23'!E2&amp;-'B23'!E2-1</f>
        <v>FY2023-2024</v>
      </c>
      <c r="I3" s="1771"/>
      <c r="J3" s="1771"/>
      <c r="K3" s="1771"/>
      <c r="L3" s="1772"/>
      <c r="M3" s="1784" t="str">
        <f>"FY"&amp;'B23'!E2+1&amp;-'B23'!E2-2</f>
        <v>FY2024-2025</v>
      </c>
      <c r="N3" s="1775"/>
      <c r="O3" s="1775"/>
      <c r="P3" s="1775"/>
      <c r="Q3" s="1776"/>
      <c r="R3" s="1770" t="str">
        <f>"FY"&amp;'B23'!E2+2&amp;-'B23'!E2-3</f>
        <v>FY2025-2026</v>
      </c>
      <c r="S3" s="1771"/>
      <c r="T3" s="1771"/>
      <c r="U3" s="1771"/>
      <c r="V3" s="1772"/>
      <c r="W3" s="1780" t="s">
        <v>450</v>
      </c>
      <c r="X3" s="1778"/>
      <c r="Y3" s="1778"/>
      <c r="Z3" s="1781"/>
    </row>
    <row r="4" spans="1:26" ht="14.1" customHeight="1" thickBot="1" x14ac:dyDescent="0.25">
      <c r="A4" s="1422" t="s">
        <v>464</v>
      </c>
      <c r="B4" s="1423"/>
      <c r="C4" s="1424"/>
      <c r="D4" s="1424"/>
      <c r="E4" s="1424"/>
      <c r="F4" s="1424"/>
      <c r="G4" s="1424"/>
      <c r="H4" s="1425"/>
      <c r="I4" s="1426"/>
      <c r="J4" s="1773"/>
      <c r="K4" s="1773"/>
      <c r="L4" s="1427"/>
      <c r="M4" s="1428"/>
      <c r="N4" s="1428"/>
      <c r="O4" s="1777"/>
      <c r="P4" s="1777"/>
      <c r="Q4" s="1428"/>
      <c r="R4" s="1425"/>
      <c r="S4" s="1426"/>
      <c r="T4" s="1773"/>
      <c r="U4" s="1773"/>
      <c r="V4" s="1427"/>
      <c r="W4" s="1765" t="s">
        <v>484</v>
      </c>
      <c r="X4" s="1766"/>
      <c r="Y4" s="1439"/>
      <c r="Z4" s="1421"/>
    </row>
    <row r="5" spans="1:26" ht="16.5" customHeight="1" x14ac:dyDescent="0.2">
      <c r="A5" s="1404" t="str">
        <f>Cover!H13</f>
        <v>Evanston Twp HSD 202</v>
      </c>
      <c r="B5" s="1405"/>
      <c r="C5" s="1406"/>
      <c r="D5" s="1406"/>
      <c r="E5" s="1406"/>
      <c r="F5" s="1406"/>
      <c r="G5" s="1406"/>
      <c r="H5" s="1407"/>
      <c r="I5" s="1408"/>
      <c r="J5" s="1408"/>
      <c r="K5" s="1408"/>
      <c r="L5" s="1409"/>
      <c r="M5" s="1406"/>
      <c r="N5" s="1406"/>
      <c r="O5" s="1406"/>
      <c r="P5" s="1406"/>
      <c r="Q5" s="1406"/>
      <c r="R5" s="1407"/>
      <c r="S5" s="1408"/>
      <c r="T5" s="1408"/>
      <c r="U5" s="1408"/>
      <c r="V5" s="1409"/>
      <c r="W5" s="1406"/>
      <c r="X5" s="1410"/>
      <c r="Y5" s="1411" t="s">
        <v>304</v>
      </c>
      <c r="Z5" s="1412"/>
    </row>
    <row r="6" spans="1:26" ht="36" x14ac:dyDescent="0.2">
      <c r="A6" s="1413" t="s">
        <v>701</v>
      </c>
      <c r="B6" s="1414"/>
      <c r="C6" s="1415" t="s">
        <v>465</v>
      </c>
      <c r="D6" s="1415" t="s">
        <v>466</v>
      </c>
      <c r="E6" s="1415" t="s">
        <v>470</v>
      </c>
      <c r="F6" s="1415" t="s">
        <v>471</v>
      </c>
      <c r="G6" s="1415" t="s">
        <v>235</v>
      </c>
      <c r="H6" s="1415" t="s">
        <v>465</v>
      </c>
      <c r="I6" s="1415" t="s">
        <v>466</v>
      </c>
      <c r="J6" s="1415" t="s">
        <v>470</v>
      </c>
      <c r="K6" s="1415" t="s">
        <v>471</v>
      </c>
      <c r="L6" s="1415" t="s">
        <v>235</v>
      </c>
      <c r="M6" s="1416" t="s">
        <v>465</v>
      </c>
      <c r="N6" s="1416" t="s">
        <v>466</v>
      </c>
      <c r="O6" s="1416" t="s">
        <v>470</v>
      </c>
      <c r="P6" s="1416" t="s">
        <v>471</v>
      </c>
      <c r="Q6" s="1416" t="s">
        <v>235</v>
      </c>
      <c r="R6" s="1416" t="s">
        <v>465</v>
      </c>
      <c r="S6" s="1416" t="s">
        <v>466</v>
      </c>
      <c r="T6" s="1416" t="s">
        <v>470</v>
      </c>
      <c r="U6" s="1416" t="s">
        <v>471</v>
      </c>
      <c r="V6" s="1417" t="s">
        <v>235</v>
      </c>
      <c r="W6" s="1417" t="str">
        <f>"FY"&amp;'B23'!E2-1&amp;-'B23'!E2</f>
        <v>FY2022-2023</v>
      </c>
      <c r="X6" s="1416" t="str">
        <f>"FY"&amp;'B23'!E2&amp;-'B23'!E2-1</f>
        <v>FY2023-2024</v>
      </c>
      <c r="Y6" s="1416" t="str">
        <f>"FY"&amp;'B23'!E2+1&amp;-'B23'!E2-2</f>
        <v>FY2024-2025</v>
      </c>
      <c r="Z6" s="1416" t="str">
        <f>"FY"&amp;'B23'!E2+2&amp;-'B23'!E2-3</f>
        <v>FY2025-2026</v>
      </c>
    </row>
    <row r="7" spans="1:26" ht="23.1" customHeight="1" x14ac:dyDescent="0.2">
      <c r="A7" s="1782" t="s">
        <v>700</v>
      </c>
      <c r="B7" s="1783"/>
      <c r="C7" s="1401">
        <f>'BudgetSum 2-4'!C3</f>
        <v>23388590</v>
      </c>
      <c r="D7" s="1401">
        <f>'BudgetSum 2-4'!D3</f>
        <v>2879273</v>
      </c>
      <c r="E7" s="1401">
        <f>'BudgetSum 2-4'!F3</f>
        <v>2579010</v>
      </c>
      <c r="F7" s="1401">
        <f>'BudgetSum 2-4'!I3</f>
        <v>4147137</v>
      </c>
      <c r="G7" s="1401">
        <f>SUM(C7:F7)</f>
        <v>32994010</v>
      </c>
      <c r="H7" s="1401">
        <f>C27</f>
        <v>21888590</v>
      </c>
      <c r="I7" s="1401">
        <f>D27</f>
        <v>2879273</v>
      </c>
      <c r="J7" s="1401">
        <f>E27</f>
        <v>2579010</v>
      </c>
      <c r="K7" s="1401">
        <f>F27</f>
        <v>4147137</v>
      </c>
      <c r="L7" s="1401">
        <f>SUM(H7:K7)</f>
        <v>31494010</v>
      </c>
      <c r="M7" s="1401">
        <f>H27</f>
        <v>21888590</v>
      </c>
      <c r="N7" s="1401">
        <f>I27</f>
        <v>2879273</v>
      </c>
      <c r="O7" s="1401">
        <f>J27</f>
        <v>2579010</v>
      </c>
      <c r="P7" s="1401">
        <f>K27</f>
        <v>4147137</v>
      </c>
      <c r="Q7" s="1401">
        <f>SUM(M7:P7)</f>
        <v>31494010</v>
      </c>
      <c r="R7" s="1401">
        <f>M27</f>
        <v>21888590</v>
      </c>
      <c r="S7" s="1401">
        <f>N27</f>
        <v>2879273</v>
      </c>
      <c r="T7" s="1401">
        <f>O27</f>
        <v>2579010</v>
      </c>
      <c r="U7" s="1401">
        <f>P27</f>
        <v>4147137</v>
      </c>
      <c r="V7" s="1401">
        <f>SUM(R7:U7)</f>
        <v>31494010</v>
      </c>
      <c r="W7" s="1401">
        <f>G7</f>
        <v>32994010</v>
      </c>
      <c r="X7" s="1401">
        <f>L7</f>
        <v>31494010</v>
      </c>
      <c r="Y7" s="1401">
        <f>Q7</f>
        <v>31494010</v>
      </c>
      <c r="Z7" s="1401">
        <f>V7</f>
        <v>31494010</v>
      </c>
    </row>
    <row r="8" spans="1:26" ht="16.7" customHeight="1" x14ac:dyDescent="0.2">
      <c r="A8" s="1392" t="s">
        <v>485</v>
      </c>
      <c r="B8" s="1418" t="s">
        <v>639</v>
      </c>
      <c r="C8" s="1419"/>
      <c r="D8" s="1419"/>
      <c r="E8" s="1419"/>
      <c r="F8" s="1419"/>
      <c r="G8" s="1419"/>
      <c r="H8" s="1420"/>
      <c r="I8" s="1420"/>
      <c r="J8" s="1420"/>
      <c r="K8" s="1420"/>
      <c r="L8" s="1420"/>
      <c r="M8" s="1420"/>
      <c r="N8" s="1420"/>
      <c r="O8" s="1420"/>
      <c r="P8" s="1420"/>
      <c r="Q8" s="1420"/>
      <c r="R8" s="1420"/>
      <c r="S8" s="1420"/>
      <c r="T8" s="1420"/>
      <c r="U8" s="1420"/>
      <c r="V8" s="1420"/>
      <c r="W8" s="1420"/>
      <c r="X8" s="1400"/>
      <c r="Y8" s="1400"/>
      <c r="Z8" s="1400"/>
    </row>
    <row r="9" spans="1:26" ht="15.75" customHeight="1" x14ac:dyDescent="0.2">
      <c r="A9" s="1395" t="s">
        <v>303</v>
      </c>
      <c r="B9" s="1396">
        <v>1000</v>
      </c>
      <c r="C9" s="1388">
        <f>'BudgetSum 2-4'!C5</f>
        <v>71749500</v>
      </c>
      <c r="D9" s="1388">
        <f>'BudgetSum 2-4'!D5</f>
        <v>8220000</v>
      </c>
      <c r="E9" s="1388">
        <f>'BudgetSum 2-4'!F5</f>
        <v>842000</v>
      </c>
      <c r="F9" s="1388">
        <f>'BudgetSum 2-4'!I5</f>
        <v>0</v>
      </c>
      <c r="G9" s="1388">
        <f>SUM(C9:F9)</f>
        <v>80811500</v>
      </c>
      <c r="H9" s="536"/>
      <c r="I9" s="536"/>
      <c r="J9" s="536"/>
      <c r="K9" s="536"/>
      <c r="L9" s="537">
        <f t="shared" ref="L9:L21" si="0">SUM(H9:K9)</f>
        <v>0</v>
      </c>
      <c r="M9" s="536"/>
      <c r="N9" s="536"/>
      <c r="O9" s="536"/>
      <c r="P9" s="536"/>
      <c r="Q9" s="537">
        <f>SUM(M9:P9)</f>
        <v>0</v>
      </c>
      <c r="R9" s="536"/>
      <c r="S9" s="536"/>
      <c r="T9" s="536"/>
      <c r="U9" s="536"/>
      <c r="V9" s="537">
        <f>SUM(R9:U9)</f>
        <v>0</v>
      </c>
      <c r="W9" s="537">
        <f>G9</f>
        <v>80811500</v>
      </c>
      <c r="X9" s="537">
        <f>L9</f>
        <v>0</v>
      </c>
      <c r="Y9" s="537">
        <f>Q9</f>
        <v>0</v>
      </c>
      <c r="Z9" s="537">
        <f>V9</f>
        <v>0</v>
      </c>
    </row>
    <row r="10" spans="1:26" ht="27" customHeight="1" x14ac:dyDescent="0.2">
      <c r="A10" s="1395" t="s">
        <v>737</v>
      </c>
      <c r="B10" s="1396">
        <v>2000</v>
      </c>
      <c r="C10" s="1401">
        <f>'BudgetSum 2-4'!C6</f>
        <v>0</v>
      </c>
      <c r="D10" s="1401">
        <f>'BudgetSum 2-4'!D6</f>
        <v>0</v>
      </c>
      <c r="E10" s="1401">
        <f>'BudgetSum 2-4'!F6</f>
        <v>0</v>
      </c>
      <c r="F10" s="1402"/>
      <c r="G10" s="1401">
        <f>SUM(C10:F10)</f>
        <v>0</v>
      </c>
      <c r="H10" s="538"/>
      <c r="I10" s="538"/>
      <c r="J10" s="538"/>
      <c r="K10" s="538"/>
      <c r="L10" s="1401">
        <f t="shared" si="0"/>
        <v>0</v>
      </c>
      <c r="M10" s="538"/>
      <c r="N10" s="538"/>
      <c r="O10" s="538"/>
      <c r="P10" s="538"/>
      <c r="Q10" s="1401">
        <f>SUM(M10:P10)</f>
        <v>0</v>
      </c>
      <c r="R10" s="538"/>
      <c r="S10" s="538"/>
      <c r="T10" s="538"/>
      <c r="U10" s="538"/>
      <c r="V10" s="1401">
        <f>SUM(R10:U10)</f>
        <v>0</v>
      </c>
      <c r="W10" s="1401">
        <f>G10</f>
        <v>0</v>
      </c>
      <c r="X10" s="1401">
        <f>L10</f>
        <v>0</v>
      </c>
      <c r="Y10" s="1401">
        <f>Q10</f>
        <v>0</v>
      </c>
      <c r="Z10" s="1401">
        <f>V10</f>
        <v>0</v>
      </c>
    </row>
    <row r="11" spans="1:26" ht="15.75" customHeight="1" x14ac:dyDescent="0.2">
      <c r="A11" s="1395" t="s">
        <v>447</v>
      </c>
      <c r="B11" s="1396">
        <v>3000</v>
      </c>
      <c r="C11" s="537">
        <f>'BudgetSum 2-4'!C7</f>
        <v>3714500</v>
      </c>
      <c r="D11" s="537">
        <f>'BudgetSum 2-4'!D7</f>
        <v>0</v>
      </c>
      <c r="E11" s="537">
        <f>'BudgetSum 2-4'!F7</f>
        <v>408000</v>
      </c>
      <c r="F11" s="537">
        <f>'BudgetSum 2-4'!I7</f>
        <v>0</v>
      </c>
      <c r="G11" s="537">
        <f>SUM(C11:F11)</f>
        <v>4122500</v>
      </c>
      <c r="H11" s="536"/>
      <c r="I11" s="536"/>
      <c r="J11" s="536"/>
      <c r="K11" s="536"/>
      <c r="L11" s="537">
        <f t="shared" si="0"/>
        <v>0</v>
      </c>
      <c r="M11" s="536"/>
      <c r="N11" s="536"/>
      <c r="O11" s="536"/>
      <c r="P11" s="536"/>
      <c r="Q11" s="537">
        <f>SUM(M11:P11)</f>
        <v>0</v>
      </c>
      <c r="R11" s="536"/>
      <c r="S11" s="536"/>
      <c r="T11" s="536"/>
      <c r="U11" s="536"/>
      <c r="V11" s="537">
        <f>SUM(R11:U11)</f>
        <v>0</v>
      </c>
      <c r="W11" s="537">
        <f>G11</f>
        <v>4122500</v>
      </c>
      <c r="X11" s="537">
        <f>L11</f>
        <v>0</v>
      </c>
      <c r="Y11" s="537">
        <f>Q11</f>
        <v>0</v>
      </c>
      <c r="Z11" s="537">
        <f>V11</f>
        <v>0</v>
      </c>
    </row>
    <row r="12" spans="1:26" ht="15.75" customHeight="1" x14ac:dyDescent="0.2">
      <c r="A12" s="1395" t="s">
        <v>448</v>
      </c>
      <c r="B12" s="1396">
        <v>4000</v>
      </c>
      <c r="C12" s="1403">
        <f>'BudgetSum 2-4'!C8</f>
        <v>3780000</v>
      </c>
      <c r="D12" s="1403">
        <f>'BudgetSum 2-4'!D8</f>
        <v>0</v>
      </c>
      <c r="E12" s="1403">
        <f>'BudgetSum 2-4'!F8</f>
        <v>0</v>
      </c>
      <c r="F12" s="1403">
        <f>'BudgetSum 2-4'!I8</f>
        <v>0</v>
      </c>
      <c r="G12" s="1403">
        <f>SUM(C12:F12)</f>
        <v>3780000</v>
      </c>
      <c r="H12" s="536"/>
      <c r="I12" s="536"/>
      <c r="J12" s="536"/>
      <c r="K12" s="536"/>
      <c r="L12" s="537">
        <f t="shared" si="0"/>
        <v>0</v>
      </c>
      <c r="M12" s="536"/>
      <c r="N12" s="536"/>
      <c r="O12" s="536"/>
      <c r="P12" s="536"/>
      <c r="Q12" s="537">
        <f>SUM(M12:P12)</f>
        <v>0</v>
      </c>
      <c r="R12" s="536"/>
      <c r="S12" s="536"/>
      <c r="T12" s="536"/>
      <c r="U12" s="536"/>
      <c r="V12" s="537">
        <f>SUM(R12:U12)</f>
        <v>0</v>
      </c>
      <c r="W12" s="537">
        <f>G12</f>
        <v>3780000</v>
      </c>
      <c r="X12" s="537">
        <f>L12</f>
        <v>0</v>
      </c>
      <c r="Y12" s="537">
        <f>Q12</f>
        <v>0</v>
      </c>
      <c r="Z12" s="537">
        <f>V12</f>
        <v>0</v>
      </c>
    </row>
    <row r="13" spans="1:26" ht="13.5" thickBot="1" x14ac:dyDescent="0.25">
      <c r="A13" s="1789" t="s">
        <v>446</v>
      </c>
      <c r="B13" s="1790"/>
      <c r="C13" s="539">
        <f>SUM(C9:C12)</f>
        <v>79244000</v>
      </c>
      <c r="D13" s="539">
        <f>SUM(D9:D12)</f>
        <v>8220000</v>
      </c>
      <c r="E13" s="539">
        <f>SUM(E9:E12)</f>
        <v>1250000</v>
      </c>
      <c r="F13" s="539">
        <f>SUM(F9:F12)</f>
        <v>0</v>
      </c>
      <c r="G13" s="539">
        <f>SUM(C13:F13)</f>
        <v>88714000</v>
      </c>
      <c r="H13" s="539">
        <f>SUM(H9:H12)</f>
        <v>0</v>
      </c>
      <c r="I13" s="539">
        <f>SUM(I9:I12)</f>
        <v>0</v>
      </c>
      <c r="J13" s="539">
        <f>SUM(J9:J12)</f>
        <v>0</v>
      </c>
      <c r="K13" s="539">
        <f>SUM(K9:K12)</f>
        <v>0</v>
      </c>
      <c r="L13" s="539">
        <f t="shared" si="0"/>
        <v>0</v>
      </c>
      <c r="M13" s="539">
        <f>SUM(M9:M12)</f>
        <v>0</v>
      </c>
      <c r="N13" s="539">
        <f>SUM(N9:N12)</f>
        <v>0</v>
      </c>
      <c r="O13" s="539">
        <f>SUM(O9:O12)</f>
        <v>0</v>
      </c>
      <c r="P13" s="539">
        <f>SUM(P9:P12)</f>
        <v>0</v>
      </c>
      <c r="Q13" s="539">
        <f>SUM(M13:P13)</f>
        <v>0</v>
      </c>
      <c r="R13" s="539">
        <f>SUM(R9:R12)</f>
        <v>0</v>
      </c>
      <c r="S13" s="539">
        <f>SUM(S9:S12)</f>
        <v>0</v>
      </c>
      <c r="T13" s="539">
        <f>SUM(T9:T12)</f>
        <v>0</v>
      </c>
      <c r="U13" s="539">
        <f>SUM(U9:U12)</f>
        <v>0</v>
      </c>
      <c r="V13" s="539">
        <f>SUM(R13:U13)</f>
        <v>0</v>
      </c>
      <c r="W13" s="539">
        <f>G13</f>
        <v>88714000</v>
      </c>
      <c r="X13" s="539">
        <f>L13</f>
        <v>0</v>
      </c>
      <c r="Y13" s="539">
        <f>Q13</f>
        <v>0</v>
      </c>
      <c r="Z13" s="539">
        <f>V13</f>
        <v>0</v>
      </c>
    </row>
    <row r="14" spans="1:26" ht="16.7" customHeight="1" thickTop="1" x14ac:dyDescent="0.2">
      <c r="A14" s="1397" t="s">
        <v>267</v>
      </c>
      <c r="B14" s="1398" t="s">
        <v>444</v>
      </c>
      <c r="C14" s="1399"/>
      <c r="D14" s="1399"/>
      <c r="E14" s="1399"/>
      <c r="F14" s="1399"/>
      <c r="G14" s="1399"/>
      <c r="H14" s="1399"/>
      <c r="I14" s="1399"/>
      <c r="J14" s="1399"/>
      <c r="K14" s="1399"/>
      <c r="L14" s="1399"/>
      <c r="M14" s="1399"/>
      <c r="N14" s="1399"/>
      <c r="O14" s="1399"/>
      <c r="P14" s="1399"/>
      <c r="Q14" s="1399"/>
      <c r="R14" s="1399"/>
      <c r="S14" s="1399"/>
      <c r="T14" s="1399"/>
      <c r="U14" s="1399"/>
      <c r="V14" s="1399"/>
      <c r="W14" s="1399"/>
      <c r="X14" s="1400"/>
      <c r="Y14" s="1400"/>
      <c r="Z14" s="1400"/>
    </row>
    <row r="15" spans="1:26" ht="15.75" customHeight="1" x14ac:dyDescent="0.2">
      <c r="A15" s="1395" t="s">
        <v>249</v>
      </c>
      <c r="B15" s="1396">
        <v>1000</v>
      </c>
      <c r="C15" s="537">
        <f>'BudgetSum 2-4'!C13</f>
        <v>52205850</v>
      </c>
      <c r="D15" s="1389"/>
      <c r="E15" s="1389"/>
      <c r="F15" s="1389"/>
      <c r="G15" s="537">
        <f t="shared" ref="G15:G21" si="1">SUM(C15:F15)</f>
        <v>52205850</v>
      </c>
      <c r="H15" s="536"/>
      <c r="I15" s="1389"/>
      <c r="J15" s="1389"/>
      <c r="K15" s="1389"/>
      <c r="L15" s="537">
        <f t="shared" si="0"/>
        <v>0</v>
      </c>
      <c r="M15" s="536"/>
      <c r="N15" s="1389"/>
      <c r="O15" s="1389"/>
      <c r="P15" s="1389"/>
      <c r="Q15" s="537">
        <f t="shared" ref="Q15:Q21" si="2">SUM(M15:P15)</f>
        <v>0</v>
      </c>
      <c r="R15" s="536"/>
      <c r="S15" s="1389"/>
      <c r="T15" s="1389"/>
      <c r="U15" s="1389"/>
      <c r="V15" s="537">
        <f t="shared" ref="V15:V21" si="3">SUM(R15:U15)</f>
        <v>0</v>
      </c>
      <c r="W15" s="537">
        <f t="shared" ref="W15:W22" si="4">G15</f>
        <v>52205850</v>
      </c>
      <c r="X15" s="537">
        <f t="shared" ref="X15:X22" si="5">L15</f>
        <v>0</v>
      </c>
      <c r="Y15" s="537">
        <f t="shared" ref="Y15:Y22" si="6">Q15</f>
        <v>0</v>
      </c>
      <c r="Z15" s="537">
        <f t="shared" ref="Z15:Z22" si="7">V15</f>
        <v>0</v>
      </c>
    </row>
    <row r="16" spans="1:26" ht="15.75" customHeight="1" x14ac:dyDescent="0.2">
      <c r="A16" s="1395" t="s">
        <v>129</v>
      </c>
      <c r="B16" s="1396">
        <v>2000</v>
      </c>
      <c r="C16" s="537">
        <f>'BudgetSum 2-4'!C14</f>
        <v>25836150</v>
      </c>
      <c r="D16" s="537">
        <f>'BudgetSum 2-4'!D14</f>
        <v>8170500</v>
      </c>
      <c r="E16" s="537">
        <f>'BudgetSum 2-4'!F14</f>
        <v>1250000</v>
      </c>
      <c r="F16" s="1389"/>
      <c r="G16" s="537">
        <f t="shared" si="1"/>
        <v>35256650</v>
      </c>
      <c r="H16" s="536"/>
      <c r="I16" s="536"/>
      <c r="J16" s="536"/>
      <c r="K16" s="1389"/>
      <c r="L16" s="537">
        <f t="shared" si="0"/>
        <v>0</v>
      </c>
      <c r="M16" s="536"/>
      <c r="N16" s="536"/>
      <c r="O16" s="536"/>
      <c r="P16" s="1389"/>
      <c r="Q16" s="537">
        <f t="shared" si="2"/>
        <v>0</v>
      </c>
      <c r="R16" s="536"/>
      <c r="S16" s="536"/>
      <c r="T16" s="536"/>
      <c r="U16" s="1390"/>
      <c r="V16" s="537">
        <f t="shared" si="3"/>
        <v>0</v>
      </c>
      <c r="W16" s="537">
        <f t="shared" si="4"/>
        <v>35256650</v>
      </c>
      <c r="X16" s="537">
        <f t="shared" si="5"/>
        <v>0</v>
      </c>
      <c r="Y16" s="537">
        <f t="shared" si="6"/>
        <v>0</v>
      </c>
      <c r="Z16" s="537">
        <f t="shared" si="7"/>
        <v>0</v>
      </c>
    </row>
    <row r="17" spans="1:26" ht="15.75" customHeight="1" x14ac:dyDescent="0.2">
      <c r="A17" s="1395" t="s">
        <v>516</v>
      </c>
      <c r="B17" s="1396">
        <v>3000</v>
      </c>
      <c r="C17" s="537">
        <f>'BudgetSum 2-4'!C15</f>
        <v>0</v>
      </c>
      <c r="D17" s="537">
        <f>'BudgetSum 2-4'!D15</f>
        <v>49500</v>
      </c>
      <c r="E17" s="537">
        <f>'BudgetSum 2-4'!F15</f>
        <v>0</v>
      </c>
      <c r="F17" s="1389"/>
      <c r="G17" s="537">
        <f t="shared" si="1"/>
        <v>49500</v>
      </c>
      <c r="H17" s="536"/>
      <c r="I17" s="536"/>
      <c r="J17" s="536"/>
      <c r="K17" s="1389"/>
      <c r="L17" s="537">
        <f t="shared" si="0"/>
        <v>0</v>
      </c>
      <c r="M17" s="536"/>
      <c r="N17" s="536"/>
      <c r="O17" s="536"/>
      <c r="P17" s="1389"/>
      <c r="Q17" s="537">
        <f t="shared" si="2"/>
        <v>0</v>
      </c>
      <c r="R17" s="536"/>
      <c r="S17" s="536"/>
      <c r="T17" s="536"/>
      <c r="U17" s="1390"/>
      <c r="V17" s="537">
        <f t="shared" si="3"/>
        <v>0</v>
      </c>
      <c r="W17" s="537">
        <f t="shared" si="4"/>
        <v>49500</v>
      </c>
      <c r="X17" s="537">
        <f t="shared" si="5"/>
        <v>0</v>
      </c>
      <c r="Y17" s="537">
        <f t="shared" si="6"/>
        <v>0</v>
      </c>
      <c r="Z17" s="537">
        <f t="shared" si="7"/>
        <v>0</v>
      </c>
    </row>
    <row r="18" spans="1:26" ht="15.75" customHeight="1" x14ac:dyDescent="0.2">
      <c r="A18" s="1395" t="s">
        <v>379</v>
      </c>
      <c r="B18" s="1396">
        <v>4000</v>
      </c>
      <c r="C18" s="537">
        <f>'BudgetSum 2-4'!C16</f>
        <v>1202000</v>
      </c>
      <c r="D18" s="537">
        <f>'BudgetSum 2-4'!D16</f>
        <v>0</v>
      </c>
      <c r="E18" s="537">
        <f>'BudgetSum 2-4'!F16</f>
        <v>0</v>
      </c>
      <c r="F18" s="1389"/>
      <c r="G18" s="537">
        <f t="shared" si="1"/>
        <v>1202000</v>
      </c>
      <c r="H18" s="536"/>
      <c r="I18" s="536"/>
      <c r="J18" s="536"/>
      <c r="K18" s="1389"/>
      <c r="L18" s="537">
        <f t="shared" si="0"/>
        <v>0</v>
      </c>
      <c r="M18" s="536"/>
      <c r="N18" s="536"/>
      <c r="O18" s="536"/>
      <c r="P18" s="1389"/>
      <c r="Q18" s="537">
        <f t="shared" si="2"/>
        <v>0</v>
      </c>
      <c r="R18" s="536"/>
      <c r="S18" s="536"/>
      <c r="T18" s="536"/>
      <c r="U18" s="1390"/>
      <c r="V18" s="537">
        <f t="shared" si="3"/>
        <v>0</v>
      </c>
      <c r="W18" s="537">
        <f t="shared" si="4"/>
        <v>1202000</v>
      </c>
      <c r="X18" s="537">
        <f t="shared" si="5"/>
        <v>0</v>
      </c>
      <c r="Y18" s="537">
        <f t="shared" si="6"/>
        <v>0</v>
      </c>
      <c r="Z18" s="537">
        <f t="shared" si="7"/>
        <v>0</v>
      </c>
    </row>
    <row r="19" spans="1:26" ht="15.75" customHeight="1" x14ac:dyDescent="0.2">
      <c r="A19" s="1395" t="s">
        <v>141</v>
      </c>
      <c r="B19" s="1396">
        <v>5000</v>
      </c>
      <c r="C19" s="537">
        <f>'BudgetSum 2-4'!C17</f>
        <v>0</v>
      </c>
      <c r="D19" s="537">
        <f>'BudgetSum 2-4'!D17</f>
        <v>0</v>
      </c>
      <c r="E19" s="537">
        <f>'BudgetSum 2-4'!F17</f>
        <v>0</v>
      </c>
      <c r="F19" s="1389"/>
      <c r="G19" s="537">
        <f t="shared" si="1"/>
        <v>0</v>
      </c>
      <c r="H19" s="536"/>
      <c r="I19" s="536"/>
      <c r="J19" s="536"/>
      <c r="K19" s="1389"/>
      <c r="L19" s="537">
        <f t="shared" si="0"/>
        <v>0</v>
      </c>
      <c r="M19" s="536"/>
      <c r="N19" s="536"/>
      <c r="O19" s="536"/>
      <c r="P19" s="1389"/>
      <c r="Q19" s="537">
        <f t="shared" si="2"/>
        <v>0</v>
      </c>
      <c r="R19" s="536"/>
      <c r="S19" s="536"/>
      <c r="T19" s="536"/>
      <c r="U19" s="1390"/>
      <c r="V19" s="537">
        <f t="shared" si="3"/>
        <v>0</v>
      </c>
      <c r="W19" s="537">
        <f t="shared" si="4"/>
        <v>0</v>
      </c>
      <c r="X19" s="537">
        <f t="shared" si="5"/>
        <v>0</v>
      </c>
      <c r="Y19" s="537">
        <f t="shared" si="6"/>
        <v>0</v>
      </c>
      <c r="Z19" s="537">
        <f t="shared" si="7"/>
        <v>0</v>
      </c>
    </row>
    <row r="20" spans="1:26" ht="15.75" customHeight="1" x14ac:dyDescent="0.2">
      <c r="A20" s="1395" t="s">
        <v>397</v>
      </c>
      <c r="B20" s="1396">
        <v>6000</v>
      </c>
      <c r="C20" s="537">
        <f>'BudgetSum 2-4'!C18</f>
        <v>0</v>
      </c>
      <c r="D20" s="537">
        <f>'BudgetSum 2-4'!D18</f>
        <v>0</v>
      </c>
      <c r="E20" s="537">
        <f>'BudgetSum 2-4'!F18</f>
        <v>0</v>
      </c>
      <c r="F20" s="1389"/>
      <c r="G20" s="537">
        <f t="shared" si="1"/>
        <v>0</v>
      </c>
      <c r="H20" s="536"/>
      <c r="I20" s="536"/>
      <c r="J20" s="536"/>
      <c r="K20" s="1389"/>
      <c r="L20" s="537">
        <f t="shared" si="0"/>
        <v>0</v>
      </c>
      <c r="M20" s="536"/>
      <c r="N20" s="536"/>
      <c r="O20" s="536"/>
      <c r="P20" s="1389"/>
      <c r="Q20" s="537">
        <f t="shared" si="2"/>
        <v>0</v>
      </c>
      <c r="R20" s="536"/>
      <c r="S20" s="536"/>
      <c r="T20" s="536"/>
      <c r="U20" s="1390"/>
      <c r="V20" s="537">
        <f t="shared" si="3"/>
        <v>0</v>
      </c>
      <c r="W20" s="537">
        <f t="shared" si="4"/>
        <v>0</v>
      </c>
      <c r="X20" s="537">
        <f t="shared" si="5"/>
        <v>0</v>
      </c>
      <c r="Y20" s="537">
        <f t="shared" si="6"/>
        <v>0</v>
      </c>
      <c r="Z20" s="537">
        <f t="shared" si="7"/>
        <v>0</v>
      </c>
    </row>
    <row r="21" spans="1:26" ht="13.5" thickBot="1" x14ac:dyDescent="0.25">
      <c r="A21" s="1789" t="s">
        <v>357</v>
      </c>
      <c r="B21" s="1790"/>
      <c r="C21" s="1388">
        <f>SUM(C15:C20)</f>
        <v>79244000</v>
      </c>
      <c r="D21" s="1388">
        <f>SUM(D15:D20)</f>
        <v>8220000</v>
      </c>
      <c r="E21" s="1388">
        <f>SUM(E15:E20)</f>
        <v>1250000</v>
      </c>
      <c r="F21" s="1389"/>
      <c r="G21" s="1388">
        <f t="shared" si="1"/>
        <v>88714000</v>
      </c>
      <c r="H21" s="1388">
        <f>SUM(H15:H20)</f>
        <v>0</v>
      </c>
      <c r="I21" s="1388">
        <f>SUM(I15:I20)</f>
        <v>0</v>
      </c>
      <c r="J21" s="1388">
        <f>SUM(J15:J20)</f>
        <v>0</v>
      </c>
      <c r="K21" s="1389"/>
      <c r="L21" s="1388">
        <f t="shared" si="0"/>
        <v>0</v>
      </c>
      <c r="M21" s="1388">
        <f>SUM(M15:M20)</f>
        <v>0</v>
      </c>
      <c r="N21" s="1388">
        <f>SUM(N15:N20)</f>
        <v>0</v>
      </c>
      <c r="O21" s="1388">
        <f>SUM(O15:O20)</f>
        <v>0</v>
      </c>
      <c r="P21" s="1389"/>
      <c r="Q21" s="1388">
        <f t="shared" si="2"/>
        <v>0</v>
      </c>
      <c r="R21" s="1388">
        <f>SUM(R15:R20)</f>
        <v>0</v>
      </c>
      <c r="S21" s="1388">
        <f>SUM(S15:S20)</f>
        <v>0</v>
      </c>
      <c r="T21" s="1388">
        <f>SUM(T15:T20)</f>
        <v>0</v>
      </c>
      <c r="U21" s="1390"/>
      <c r="V21" s="1388">
        <f t="shared" si="3"/>
        <v>0</v>
      </c>
      <c r="W21" s="539">
        <f t="shared" si="4"/>
        <v>88714000</v>
      </c>
      <c r="X21" s="539">
        <f t="shared" si="5"/>
        <v>0</v>
      </c>
      <c r="Y21" s="539">
        <f t="shared" si="6"/>
        <v>0</v>
      </c>
      <c r="Z21" s="539">
        <f t="shared" si="7"/>
        <v>0</v>
      </c>
    </row>
    <row r="22" spans="1:26" ht="14.25" thickTop="1" thickBot="1" x14ac:dyDescent="0.25">
      <c r="A22" s="1791" t="s">
        <v>472</v>
      </c>
      <c r="B22" s="1792"/>
      <c r="C22" s="1378">
        <f>SUM(C13-C21)</f>
        <v>0</v>
      </c>
      <c r="D22" s="1378">
        <f>SUM(D13-D21)</f>
        <v>0</v>
      </c>
      <c r="E22" s="1378">
        <f>SUM(E13-E21)</f>
        <v>0</v>
      </c>
      <c r="F22" s="1391">
        <f>SUM(F13-F21)</f>
        <v>0</v>
      </c>
      <c r="G22" s="1378">
        <f>G13-G21</f>
        <v>0</v>
      </c>
      <c r="H22" s="1378">
        <f>SUM(H13-H21)</f>
        <v>0</v>
      </c>
      <c r="I22" s="1378">
        <f>SUM(I13-I21)</f>
        <v>0</v>
      </c>
      <c r="J22" s="1378">
        <f>SUM(J13-J21)</f>
        <v>0</v>
      </c>
      <c r="K22" s="1391">
        <f>SUM(K13-K21)</f>
        <v>0</v>
      </c>
      <c r="L22" s="1378">
        <f>SUM(H22:K22)</f>
        <v>0</v>
      </c>
      <c r="M22" s="1378">
        <f>SUM(M13-M21)</f>
        <v>0</v>
      </c>
      <c r="N22" s="1378">
        <f>SUM(N13-N21)</f>
        <v>0</v>
      </c>
      <c r="O22" s="1378">
        <f>SUM(O13-O21)</f>
        <v>0</v>
      </c>
      <c r="P22" s="1391">
        <f>SUM(P13-P21)</f>
        <v>0</v>
      </c>
      <c r="Q22" s="1378">
        <f>SUM(M22:P22)</f>
        <v>0</v>
      </c>
      <c r="R22" s="1378">
        <f>SUM(R13-R21)</f>
        <v>0</v>
      </c>
      <c r="S22" s="1378">
        <f>SUM(S13-S21)</f>
        <v>0</v>
      </c>
      <c r="T22" s="1378">
        <f>SUM(T13-T21)</f>
        <v>0</v>
      </c>
      <c r="U22" s="1391">
        <f>SUM(U13-U21)</f>
        <v>0</v>
      </c>
      <c r="V22" s="1378">
        <f>SUM(R22:U22)</f>
        <v>0</v>
      </c>
      <c r="W22" s="1378">
        <f t="shared" si="4"/>
        <v>0</v>
      </c>
      <c r="X22" s="1378">
        <f t="shared" si="5"/>
        <v>0</v>
      </c>
      <c r="Y22" s="1378">
        <f t="shared" si="6"/>
        <v>0</v>
      </c>
      <c r="Z22" s="1378">
        <f t="shared" si="7"/>
        <v>0</v>
      </c>
    </row>
    <row r="23" spans="1:26" ht="16.7" customHeight="1" thickTop="1" thickBot="1" x14ac:dyDescent="0.25">
      <c r="A23" s="1392" t="s">
        <v>333</v>
      </c>
      <c r="B23" s="1393"/>
      <c r="C23" s="1394"/>
      <c r="D23" s="1394"/>
      <c r="E23" s="1394"/>
      <c r="F23" s="1394"/>
      <c r="G23" s="1394"/>
      <c r="H23" s="1394"/>
      <c r="I23" s="1394"/>
      <c r="J23" s="1394"/>
      <c r="K23" s="1394"/>
      <c r="L23" s="1394"/>
      <c r="M23" s="1394"/>
      <c r="N23" s="1394"/>
      <c r="O23" s="1394"/>
      <c r="P23" s="1394"/>
      <c r="Q23" s="1394"/>
      <c r="R23" s="1394"/>
      <c r="S23" s="1394"/>
      <c r="T23" s="1394"/>
      <c r="U23" s="1394"/>
      <c r="V23" s="1394"/>
      <c r="W23" s="1394"/>
      <c r="X23" s="1394"/>
      <c r="Y23" s="1394"/>
      <c r="Z23" s="1394"/>
    </row>
    <row r="24" spans="1:26" s="144" customFormat="1" ht="15.75" customHeight="1" thickTop="1" thickBot="1" x14ac:dyDescent="0.25">
      <c r="A24" s="1385" t="s">
        <v>334</v>
      </c>
      <c r="B24" s="1386"/>
      <c r="C24" s="539">
        <f>'BudgetSum 2-4'!C46</f>
        <v>-1500000</v>
      </c>
      <c r="D24" s="539">
        <f>'BudgetSum 2-4'!D46</f>
        <v>0</v>
      </c>
      <c r="E24" s="539">
        <f>'BudgetSum 2-4'!F46</f>
        <v>0</v>
      </c>
      <c r="F24" s="539">
        <f>'BudgetSum 2-4'!I46</f>
        <v>0</v>
      </c>
      <c r="G24" s="539">
        <f>SUM(C24:F24)</f>
        <v>-1500000</v>
      </c>
      <c r="H24" s="540"/>
      <c r="I24" s="540"/>
      <c r="J24" s="540"/>
      <c r="K24" s="540"/>
      <c r="L24" s="1378">
        <f>SUM(H24:K24)</f>
        <v>0</v>
      </c>
      <c r="M24" s="540"/>
      <c r="N24" s="540"/>
      <c r="O24" s="540"/>
      <c r="P24" s="540"/>
      <c r="Q24" s="539">
        <f>SUM(M24:P24)</f>
        <v>0</v>
      </c>
      <c r="R24" s="540"/>
      <c r="S24" s="540"/>
      <c r="T24" s="540"/>
      <c r="U24" s="540"/>
      <c r="V24" s="539">
        <f>SUM(R24:U24)</f>
        <v>0</v>
      </c>
      <c r="W24" s="539">
        <f>G24</f>
        <v>-1500000</v>
      </c>
      <c r="X24" s="539">
        <f>L24</f>
        <v>0</v>
      </c>
      <c r="Y24" s="539">
        <f>Q24</f>
        <v>0</v>
      </c>
      <c r="Z24" s="539">
        <f>V24</f>
        <v>0</v>
      </c>
    </row>
    <row r="25" spans="1:26" s="144" customFormat="1" ht="15.75" customHeight="1" thickTop="1" thickBot="1" x14ac:dyDescent="0.25">
      <c r="A25" s="1387" t="s">
        <v>335</v>
      </c>
      <c r="B25" s="1386"/>
      <c r="C25" s="1377">
        <f>'BudgetSum 2-4'!C79</f>
        <v>0</v>
      </c>
      <c r="D25" s="1377">
        <f>'BudgetSum 2-4'!D79</f>
        <v>0</v>
      </c>
      <c r="E25" s="1377">
        <f>'BudgetSum 2-4'!F79</f>
        <v>0</v>
      </c>
      <c r="F25" s="1377">
        <f>'BudgetSum 2-4'!I79</f>
        <v>0</v>
      </c>
      <c r="G25" s="1377">
        <f>SUM(C25:F25)</f>
        <v>0</v>
      </c>
      <c r="H25" s="541"/>
      <c r="I25" s="541"/>
      <c r="J25" s="541"/>
      <c r="K25" s="541"/>
      <c r="L25" s="1378">
        <f>SUM(H25:K25)</f>
        <v>0</v>
      </c>
      <c r="M25" s="541"/>
      <c r="N25" s="541"/>
      <c r="O25" s="541"/>
      <c r="P25" s="541"/>
      <c r="Q25" s="1377">
        <f>SUM(M25:P25)</f>
        <v>0</v>
      </c>
      <c r="R25" s="541"/>
      <c r="S25" s="541"/>
      <c r="T25" s="541"/>
      <c r="U25" s="541"/>
      <c r="V25" s="1377">
        <f>SUM(R25:U25)</f>
        <v>0</v>
      </c>
      <c r="W25" s="539">
        <f>G25</f>
        <v>0</v>
      </c>
      <c r="X25" s="539">
        <f>L25</f>
        <v>0</v>
      </c>
      <c r="Y25" s="539">
        <f>Q25</f>
        <v>0</v>
      </c>
      <c r="Z25" s="539">
        <f>V25</f>
        <v>0</v>
      </c>
    </row>
    <row r="26" spans="1:26" ht="14.25" thickTop="1" thickBot="1" x14ac:dyDescent="0.25">
      <c r="A26" s="1785" t="s">
        <v>237</v>
      </c>
      <c r="B26" s="1786"/>
      <c r="C26" s="1377">
        <f t="shared" ref="C26:H26" si="8">SUM(C24-C25)</f>
        <v>-1500000</v>
      </c>
      <c r="D26" s="1377">
        <f t="shared" si="8"/>
        <v>0</v>
      </c>
      <c r="E26" s="1377">
        <f t="shared" si="8"/>
        <v>0</v>
      </c>
      <c r="F26" s="1377">
        <f t="shared" si="8"/>
        <v>0</v>
      </c>
      <c r="G26" s="1377">
        <f t="shared" si="8"/>
        <v>-1500000</v>
      </c>
      <c r="H26" s="1377">
        <f t="shared" si="8"/>
        <v>0</v>
      </c>
      <c r="I26" s="1377">
        <f t="shared" ref="I26:U26" si="9">SUM(I24-I25)</f>
        <v>0</v>
      </c>
      <c r="J26" s="1377">
        <f t="shared" si="9"/>
        <v>0</v>
      </c>
      <c r="K26" s="1377">
        <f t="shared" si="9"/>
        <v>0</v>
      </c>
      <c r="L26" s="1378">
        <f>SUM(H26:K26)</f>
        <v>0</v>
      </c>
      <c r="M26" s="1377">
        <f t="shared" si="9"/>
        <v>0</v>
      </c>
      <c r="N26" s="1377">
        <f t="shared" si="9"/>
        <v>0</v>
      </c>
      <c r="O26" s="1377">
        <f t="shared" si="9"/>
        <v>0</v>
      </c>
      <c r="P26" s="1377">
        <f t="shared" si="9"/>
        <v>0</v>
      </c>
      <c r="Q26" s="1377">
        <f>SUM(M26:P26)</f>
        <v>0</v>
      </c>
      <c r="R26" s="1377">
        <f t="shared" si="9"/>
        <v>0</v>
      </c>
      <c r="S26" s="1377">
        <f t="shared" si="9"/>
        <v>0</v>
      </c>
      <c r="T26" s="1377">
        <f t="shared" si="9"/>
        <v>0</v>
      </c>
      <c r="U26" s="1377">
        <f t="shared" si="9"/>
        <v>0</v>
      </c>
      <c r="V26" s="1377">
        <f>SUM(R26:U26)</f>
        <v>0</v>
      </c>
      <c r="W26" s="1377">
        <f>G26</f>
        <v>-1500000</v>
      </c>
      <c r="X26" s="1377">
        <f>L26</f>
        <v>0</v>
      </c>
      <c r="Y26" s="1377">
        <f>Q26</f>
        <v>0</v>
      </c>
      <c r="Z26" s="1377">
        <f>V26</f>
        <v>0</v>
      </c>
    </row>
    <row r="27" spans="1:26" ht="14.25" thickTop="1" thickBot="1" x14ac:dyDescent="0.25">
      <c r="A27" s="1787" t="s">
        <v>383</v>
      </c>
      <c r="B27" s="1788"/>
      <c r="C27" s="1379">
        <f>C7+C22+C26</f>
        <v>21888590</v>
      </c>
      <c r="D27" s="1379">
        <f t="shared" ref="D27:U27" si="10">D7+D22+D26</f>
        <v>2879273</v>
      </c>
      <c r="E27" s="1379">
        <f t="shared" si="10"/>
        <v>2579010</v>
      </c>
      <c r="F27" s="1379">
        <f t="shared" si="10"/>
        <v>4147137</v>
      </c>
      <c r="G27" s="1379">
        <f t="shared" si="10"/>
        <v>31494010</v>
      </c>
      <c r="H27" s="1379">
        <f t="shared" si="10"/>
        <v>21888590</v>
      </c>
      <c r="I27" s="1379">
        <f t="shared" si="10"/>
        <v>2879273</v>
      </c>
      <c r="J27" s="1379">
        <f t="shared" si="10"/>
        <v>2579010</v>
      </c>
      <c r="K27" s="1379">
        <f t="shared" si="10"/>
        <v>4147137</v>
      </c>
      <c r="L27" s="1380">
        <f>SUM(H27:K27)</f>
        <v>31494010</v>
      </c>
      <c r="M27" s="1379">
        <f t="shared" si="10"/>
        <v>21888590</v>
      </c>
      <c r="N27" s="1379">
        <f t="shared" si="10"/>
        <v>2879273</v>
      </c>
      <c r="O27" s="1379">
        <f t="shared" si="10"/>
        <v>2579010</v>
      </c>
      <c r="P27" s="1379">
        <f t="shared" si="10"/>
        <v>4147137</v>
      </c>
      <c r="Q27" s="1379">
        <f t="shared" si="10"/>
        <v>31494010</v>
      </c>
      <c r="R27" s="1379">
        <f t="shared" si="10"/>
        <v>21888590</v>
      </c>
      <c r="S27" s="1379">
        <f t="shared" si="10"/>
        <v>2879273</v>
      </c>
      <c r="T27" s="1379">
        <f t="shared" si="10"/>
        <v>2579010</v>
      </c>
      <c r="U27" s="1379">
        <f t="shared" si="10"/>
        <v>4147137</v>
      </c>
      <c r="V27" s="1379">
        <f>V7+V22+V26</f>
        <v>31494010</v>
      </c>
      <c r="W27" s="1379">
        <f>G27</f>
        <v>31494010</v>
      </c>
      <c r="X27" s="1379">
        <f>L27</f>
        <v>31494010</v>
      </c>
      <c r="Y27" s="1379">
        <f>Q27</f>
        <v>31494010</v>
      </c>
      <c r="Z27" s="1379">
        <f>V27</f>
        <v>31494010</v>
      </c>
    </row>
    <row r="28" spans="1:26" ht="13.5" thickTop="1" x14ac:dyDescent="0.2">
      <c r="C28" s="1382"/>
      <c r="D28" s="1382"/>
      <c r="E28" s="1382"/>
      <c r="F28" s="1382"/>
      <c r="G28" s="1382"/>
      <c r="H28" s="1382"/>
      <c r="I28" s="1382"/>
      <c r="J28" s="1382"/>
      <c r="K28" s="1383"/>
      <c r="L28" s="1383"/>
    </row>
    <row r="51" spans="4:4" x14ac:dyDescent="0.2">
      <c r="D51" s="1384"/>
    </row>
  </sheetData>
  <sheetProtection algorithmName="SHA-512" hashValue="/CmNGPv5lpzh5DoVCHy0Lt6iTAg9AzLm2LSGDiJ9WnfTHnpb6AheZmgW+UA5i2nA0Jmsv7vXvHvuH1cTFd1T7Q==" saltValue="uZOvvdbdpUYMC+3U7pnNmA=="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6" type="noConversion"/>
  <printOptions headings="1"/>
  <pageMargins left="0.75" right="0" top="1.25" bottom="0.25" header="0.55000000000000004" footer="0.3"/>
  <pageSetup scale="53" firstPageNumber="23" fitToWidth="0"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2" manualBreakCount="2">
    <brk id="12" max="1048575" man="1"/>
    <brk id="22"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H52"/>
  <sheetViews>
    <sheetView showGridLines="0" zoomScale="125" zoomScaleNormal="125" workbookViewId="0"/>
  </sheetViews>
  <sheetFormatPr defaultColWidth="9.140625" defaultRowHeight="12.75" x14ac:dyDescent="0.2"/>
  <cols>
    <col min="1" max="1" width="3.28515625" style="826" bestFit="1" customWidth="1"/>
    <col min="2" max="2" width="98" style="153" customWidth="1"/>
    <col min="3" max="3" width="4.140625" style="153" customWidth="1"/>
    <col min="4" max="4" width="7.85546875" style="153" customWidth="1"/>
    <col min="5" max="16384" width="9.140625" style="153"/>
  </cols>
  <sheetData>
    <row r="1" spans="1:8" ht="18.75" customHeight="1" x14ac:dyDescent="0.2">
      <c r="B1" s="1445" t="s">
        <v>792</v>
      </c>
      <c r="C1" s="1446"/>
    </row>
    <row r="2" spans="1:8" s="1447" customFormat="1" ht="15" x14ac:dyDescent="0.25">
      <c r="B2" s="1445" t="str">
        <f>"Fiscal Year "&amp;'B23'!E2-1&amp;-'B23'!E2</f>
        <v>Fiscal Year 2022-2023</v>
      </c>
      <c r="C2" s="1448"/>
    </row>
    <row r="3" spans="1:8" s="1447" customFormat="1" ht="15" x14ac:dyDescent="0.25">
      <c r="B3" s="1445" t="str">
        <f>"through Fiscal Year "&amp;'B23'!E2+2&amp;-'B23'!E2-3</f>
        <v>through Fiscal Year 2025-2026</v>
      </c>
      <c r="C3" s="1448"/>
    </row>
    <row r="4" spans="1:8" ht="7.5" customHeight="1" thickBot="1" x14ac:dyDescent="0.25">
      <c r="B4" s="1449"/>
      <c r="C4" s="1446"/>
    </row>
    <row r="5" spans="1:8" ht="13.5" thickTop="1" x14ac:dyDescent="0.2">
      <c r="A5" s="1450"/>
      <c r="B5" s="1451" t="str">
        <f>Cover!H13&amp;"              "&amp;Cover!H14</f>
        <v>Evanston Twp HSD 202              5016202017</v>
      </c>
      <c r="C5" s="188"/>
    </row>
    <row r="6" spans="1:8" ht="39.75" customHeight="1" x14ac:dyDescent="0.2">
      <c r="A6" s="201"/>
      <c r="B6" s="1452" t="s">
        <v>650</v>
      </c>
      <c r="C6" s="1357"/>
      <c r="D6" s="197"/>
      <c r="E6" s="197"/>
      <c r="F6" s="197"/>
      <c r="G6" s="197"/>
      <c r="H6" s="197"/>
    </row>
    <row r="7" spans="1:8" ht="12" hidden="1" customHeight="1" x14ac:dyDescent="0.2">
      <c r="A7" s="1453"/>
      <c r="B7" s="1454"/>
      <c r="C7" s="188"/>
    </row>
    <row r="8" spans="1:8" ht="14.25" customHeight="1" x14ac:dyDescent="0.2">
      <c r="A8" s="1455"/>
      <c r="B8" s="1456"/>
      <c r="C8" s="188"/>
    </row>
    <row r="9" spans="1:8" x14ac:dyDescent="0.2">
      <c r="A9" s="1441">
        <v>1</v>
      </c>
      <c r="B9" s="1443" t="s">
        <v>211</v>
      </c>
    </row>
    <row r="10" spans="1:8" ht="32.25" customHeight="1" x14ac:dyDescent="0.2">
      <c r="A10" s="829"/>
      <c r="B10" s="543"/>
      <c r="C10" s="1444"/>
      <c r="D10" s="1444"/>
    </row>
    <row r="11" spans="1:8" ht="30" customHeight="1" x14ac:dyDescent="0.2">
      <c r="A11" s="829"/>
      <c r="B11" s="544"/>
      <c r="C11" s="1444"/>
      <c r="D11" s="1444"/>
    </row>
    <row r="12" spans="1:8" x14ac:dyDescent="0.2">
      <c r="A12" s="1441">
        <v>2</v>
      </c>
      <c r="B12" s="1443" t="s">
        <v>207</v>
      </c>
    </row>
    <row r="13" spans="1:8" ht="30" customHeight="1" x14ac:dyDescent="0.2">
      <c r="A13" s="829"/>
      <c r="B13" s="545"/>
    </row>
    <row r="14" spans="1:8" ht="30" customHeight="1" x14ac:dyDescent="0.2">
      <c r="A14" s="829"/>
      <c r="B14" s="546"/>
    </row>
    <row r="15" spans="1:8" x14ac:dyDescent="0.2">
      <c r="A15" s="1441"/>
      <c r="B15" s="1440" t="s">
        <v>747</v>
      </c>
    </row>
    <row r="16" spans="1:8" ht="30" customHeight="1" x14ac:dyDescent="0.2">
      <c r="A16" s="829"/>
      <c r="B16" s="545"/>
    </row>
    <row r="17" spans="1:4" ht="30" customHeight="1" x14ac:dyDescent="0.2">
      <c r="A17" s="829"/>
      <c r="B17" s="546"/>
    </row>
    <row r="18" spans="1:4" x14ac:dyDescent="0.2">
      <c r="A18" s="1441"/>
      <c r="B18" s="1440" t="s">
        <v>208</v>
      </c>
      <c r="D18" s="1442"/>
    </row>
    <row r="19" spans="1:4" ht="30" customHeight="1" x14ac:dyDescent="0.2">
      <c r="A19" s="829"/>
      <c r="B19" s="545"/>
    </row>
    <row r="20" spans="1:4" ht="30" customHeight="1" x14ac:dyDescent="0.2">
      <c r="A20" s="829"/>
      <c r="B20" s="546"/>
    </row>
    <row r="21" spans="1:4" x14ac:dyDescent="0.2">
      <c r="A21" s="1441"/>
      <c r="B21" s="1440" t="s">
        <v>209</v>
      </c>
    </row>
    <row r="22" spans="1:4" ht="30" customHeight="1" x14ac:dyDescent="0.2">
      <c r="A22" s="829"/>
      <c r="B22" s="545"/>
    </row>
    <row r="23" spans="1:4" ht="30" customHeight="1" x14ac:dyDescent="0.2">
      <c r="A23" s="829"/>
      <c r="B23" s="546"/>
    </row>
    <row r="24" spans="1:4" x14ac:dyDescent="0.2">
      <c r="A24" s="1441"/>
      <c r="B24" s="1440" t="s">
        <v>3130</v>
      </c>
    </row>
    <row r="25" spans="1:4" ht="30" customHeight="1" x14ac:dyDescent="0.2">
      <c r="A25" s="828"/>
      <c r="B25" s="545"/>
    </row>
    <row r="26" spans="1:4" ht="30" customHeight="1" x14ac:dyDescent="0.2">
      <c r="A26" s="828"/>
      <c r="B26" s="546"/>
    </row>
    <row r="27" spans="1:4" x14ac:dyDescent="0.2">
      <c r="A27" s="1441"/>
      <c r="B27" s="1440" t="s">
        <v>210</v>
      </c>
    </row>
    <row r="28" spans="1:4" ht="30" customHeight="1" x14ac:dyDescent="0.2">
      <c r="A28" s="828"/>
      <c r="B28" s="545"/>
    </row>
    <row r="29" spans="1:4" ht="30" customHeight="1" x14ac:dyDescent="0.2">
      <c r="A29" s="828"/>
      <c r="B29" s="546"/>
    </row>
    <row r="30" spans="1:4" x14ac:dyDescent="0.2">
      <c r="B30" s="1440" t="s">
        <v>212</v>
      </c>
    </row>
    <row r="31" spans="1:4" ht="30" customHeight="1" x14ac:dyDescent="0.2">
      <c r="A31" s="828"/>
      <c r="B31" s="547"/>
    </row>
    <row r="32" spans="1:4" ht="30" customHeight="1" x14ac:dyDescent="0.2">
      <c r="A32" s="828"/>
      <c r="B32" s="546"/>
    </row>
    <row r="33" spans="1:2" x14ac:dyDescent="0.2">
      <c r="B33" s="1440" t="s">
        <v>3131</v>
      </c>
    </row>
    <row r="34" spans="1:2" ht="30" customHeight="1" x14ac:dyDescent="0.2">
      <c r="A34" s="828"/>
      <c r="B34" s="548"/>
    </row>
    <row r="35" spans="1:2" ht="36.75" customHeight="1" x14ac:dyDescent="0.2">
      <c r="A35" s="828"/>
      <c r="B35" s="548"/>
    </row>
    <row r="36" spans="1:2" x14ac:dyDescent="0.2">
      <c r="B36" s="1440"/>
    </row>
    <row r="52" spans="4:4" x14ac:dyDescent="0.2">
      <c r="D52" s="1384"/>
    </row>
  </sheetData>
  <sheetProtection algorithmName="SHA-512" hashValue="4a3Vc5OsJz9KITrq5AvnPsxzKbILNNSo35L/agtxKhkfMLUr9QEtclyPngjRZfGWkEX9zb2EBh6UDYu8/4Ye/Q==" saltValue="ffjmqc4+7bKJ4ixjjoe60w==" spinCount="100000" sheet="1" objects="1" scenarios="1"/>
  <phoneticPr fontId="6" type="noConversion"/>
  <pageMargins left="0.35" right="0.34" top="1" bottom="0.5" header="0.4" footer="0.25"/>
  <pageSetup scale="89" firstPageNumber="28" fitToWidth="0" orientation="portrait" useFirstPageNumber="1" r:id="rId1"/>
  <headerFooter alignWithMargins="0">
    <oddHeader>&amp;LPage &amp;P&amp;RPage &amp;P</oddHeader>
    <oddFooter>&amp;L&amp;8&amp;Z&amp;F&amp;R&amp;8&amp;D</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autoPageBreaks="0" fitToPage="1"/>
  </sheetPr>
  <dimension ref="A1:N40"/>
  <sheetViews>
    <sheetView showGridLines="0" topLeftCell="A6" zoomScaleNormal="100" workbookViewId="0">
      <selection activeCell="E30" sqref="E30"/>
    </sheetView>
  </sheetViews>
  <sheetFormatPr defaultColWidth="9.140625" defaultRowHeight="15" x14ac:dyDescent="0.25"/>
  <cols>
    <col min="1" max="1" width="2.7109375" style="1463" customWidth="1"/>
    <col min="2" max="2" width="3" style="1463" customWidth="1"/>
    <col min="3" max="3" width="39.7109375" style="1463" customWidth="1"/>
    <col min="4" max="4" width="9.5703125" style="1463" customWidth="1"/>
    <col min="5" max="5" width="13.140625" style="1463" customWidth="1"/>
    <col min="6" max="6" width="12.28515625" style="1463" customWidth="1"/>
    <col min="7" max="7" width="12.42578125" style="1463" customWidth="1"/>
    <col min="8" max="8" width="11.7109375" style="1463" customWidth="1"/>
    <col min="9" max="9" width="10.85546875" style="1463" customWidth="1"/>
    <col min="10" max="10" width="12.28515625" style="1463" customWidth="1"/>
    <col min="11" max="11" width="12.140625" style="1463" customWidth="1"/>
    <col min="12" max="12" width="13.140625" style="1463" customWidth="1"/>
    <col min="13" max="13" width="12" style="1463" customWidth="1"/>
    <col min="14" max="14" width="17.85546875" style="1463" customWidth="1"/>
    <col min="15" max="16384" width="9.140625" style="1463"/>
  </cols>
  <sheetData>
    <row r="1" spans="1:14" ht="15" customHeight="1" x14ac:dyDescent="0.25">
      <c r="A1" s="1803" t="s">
        <v>793</v>
      </c>
      <c r="B1" s="1804"/>
      <c r="C1" s="1804"/>
      <c r="D1" s="1804"/>
      <c r="E1" s="1804"/>
      <c r="F1" s="1804"/>
      <c r="G1" s="1804"/>
      <c r="H1" s="1804"/>
      <c r="I1" s="1804"/>
      <c r="J1" s="1804"/>
      <c r="K1" s="1804"/>
      <c r="L1" s="1501"/>
      <c r="M1" s="1502"/>
      <c r="N1" s="1503"/>
    </row>
    <row r="2" spans="1:14" x14ac:dyDescent="0.25">
      <c r="A2" s="1805" t="s">
        <v>420</v>
      </c>
      <c r="B2" s="1806"/>
      <c r="C2" s="1806"/>
      <c r="D2" s="1806"/>
      <c r="E2" s="1806"/>
      <c r="F2" s="1806"/>
      <c r="G2" s="1806"/>
      <c r="H2" s="1806"/>
      <c r="I2" s="1806"/>
      <c r="J2" s="1806"/>
      <c r="K2" s="1806"/>
      <c r="L2" s="1504"/>
      <c r="M2" s="1459"/>
      <c r="N2" s="1462"/>
    </row>
    <row r="3" spans="1:14" x14ac:dyDescent="0.25">
      <c r="A3" s="1505" t="s">
        <v>806</v>
      </c>
      <c r="B3" s="1459"/>
      <c r="C3" s="1459"/>
      <c r="D3" s="1459"/>
      <c r="E3" s="1459"/>
      <c r="F3" s="1459"/>
      <c r="G3" s="1506"/>
      <c r="H3" s="1459"/>
      <c r="I3" s="1459"/>
      <c r="J3" s="1459"/>
      <c r="K3" s="1459"/>
      <c r="L3" s="1504"/>
      <c r="M3" s="1459"/>
      <c r="N3" s="1462"/>
    </row>
    <row r="4" spans="1:14" x14ac:dyDescent="0.25">
      <c r="A4" s="1507"/>
      <c r="B4" s="1459"/>
      <c r="C4" s="1459"/>
      <c r="D4" s="1459"/>
      <c r="E4" s="1459"/>
      <c r="F4" s="1459"/>
      <c r="G4" s="1506"/>
      <c r="H4" s="1459"/>
      <c r="I4" s="1459"/>
      <c r="J4" s="1459"/>
      <c r="K4" s="1459"/>
      <c r="L4" s="1504"/>
      <c r="M4" s="1459"/>
      <c r="N4" s="1462"/>
    </row>
    <row r="5" spans="1:14" ht="13.5" customHeight="1" x14ac:dyDescent="0.25">
      <c r="A5" s="1797" t="str">
        <f>"The worksheet is intended for use during the budgeting process to estimate the district's percent increase of FY"&amp;'B23'!E2</f>
        <v>The worksheet is intended for use during the budgeting process to estimate the district's percent increase of FY2023</v>
      </c>
      <c r="B5" s="1798"/>
      <c r="C5" s="1798"/>
      <c r="D5" s="1798"/>
      <c r="E5" s="1798"/>
      <c r="F5" s="1798"/>
      <c r="G5" s="1798"/>
      <c r="H5" s="1798" t="str">
        <f>"budgeted expenditures over actual FY"&amp;'B23'!E2-1</f>
        <v>budgeted expenditures over actual FY2022</v>
      </c>
      <c r="I5" s="1798"/>
      <c r="J5" s="1798"/>
      <c r="K5" s="1508" t="s">
        <v>3048</v>
      </c>
      <c r="L5" s="1508"/>
      <c r="M5" s="1509"/>
      <c r="N5" s="1510"/>
    </row>
    <row r="6" spans="1:14" ht="17.25" customHeight="1" x14ac:dyDescent="0.25">
      <c r="A6" s="1511" t="s">
        <v>3047</v>
      </c>
      <c r="B6" s="1509"/>
      <c r="C6" s="1509"/>
      <c r="D6" s="1509"/>
      <c r="E6" s="1509"/>
      <c r="F6" s="1509"/>
      <c r="G6" s="1509"/>
      <c r="H6" s="1509"/>
      <c r="I6" s="1509"/>
      <c r="J6" s="1509"/>
      <c r="K6" s="1509"/>
      <c r="L6" s="1509"/>
      <c r="M6" s="1509"/>
      <c r="N6" s="1510"/>
    </row>
    <row r="7" spans="1:14" ht="18" customHeight="1" x14ac:dyDescent="0.25">
      <c r="A7" s="1512"/>
      <c r="B7" s="1513"/>
      <c r="C7" s="1513"/>
      <c r="D7" s="1513"/>
      <c r="E7" s="1513"/>
      <c r="F7" s="1513"/>
      <c r="G7" s="1513"/>
      <c r="H7" s="1513"/>
      <c r="I7" s="1513"/>
      <c r="J7" s="1513"/>
      <c r="K7" s="1513"/>
      <c r="L7" s="1513"/>
      <c r="M7" s="1513"/>
      <c r="N7" s="1514"/>
    </row>
    <row r="8" spans="1:14" x14ac:dyDescent="0.25">
      <c r="A8" s="1515" t="s">
        <v>804</v>
      </c>
      <c r="B8" s="1459"/>
      <c r="C8" s="1459"/>
      <c r="D8" s="1459"/>
      <c r="E8" s="1459"/>
      <c r="F8" s="1506"/>
      <c r="G8" s="1506"/>
      <c r="H8" s="1459"/>
      <c r="I8" s="1459"/>
      <c r="J8" s="1459"/>
      <c r="K8" s="1459"/>
      <c r="L8" s="1459"/>
      <c r="M8" s="1459"/>
      <c r="N8" s="1462"/>
    </row>
    <row r="9" spans="1:14" x14ac:dyDescent="0.25">
      <c r="A9" s="1516" t="s">
        <v>805</v>
      </c>
      <c r="B9" s="1459"/>
      <c r="C9" s="1459"/>
      <c r="D9" s="1459"/>
      <c r="E9" s="1459"/>
      <c r="F9" s="1506"/>
      <c r="G9" s="1517" t="s">
        <v>44</v>
      </c>
      <c r="I9" s="1459"/>
      <c r="J9" s="1459"/>
      <c r="K9" s="1459"/>
      <c r="L9" s="1459"/>
      <c r="M9" s="1459"/>
      <c r="N9" s="1462"/>
    </row>
    <row r="10" spans="1:14" x14ac:dyDescent="0.25">
      <c r="A10" s="1518"/>
      <c r="B10" s="1459"/>
      <c r="C10" s="1459"/>
      <c r="D10" s="1459"/>
      <c r="E10" s="1459"/>
      <c r="F10" s="1506"/>
      <c r="G10" s="1506"/>
      <c r="H10" s="1459"/>
      <c r="I10" s="1459"/>
      <c r="J10" s="1459"/>
      <c r="K10" s="1459"/>
      <c r="L10" s="1459"/>
      <c r="M10" s="1459"/>
      <c r="N10" s="1462"/>
    </row>
    <row r="11" spans="1:14" x14ac:dyDescent="0.25">
      <c r="A11" s="1519" t="s">
        <v>424</v>
      </c>
      <c r="B11" s="1520"/>
      <c r="C11" s="1520"/>
      <c r="D11" s="1520"/>
      <c r="E11" s="1521"/>
      <c r="F11" s="1522"/>
      <c r="G11" s="1506"/>
      <c r="H11" s="1459"/>
      <c r="I11" s="1523" t="s">
        <v>230</v>
      </c>
      <c r="J11" s="1808" t="str">
        <f>Cover!H13</f>
        <v>Evanston Twp HSD 202</v>
      </c>
      <c r="K11" s="1808"/>
      <c r="L11" s="1809"/>
      <c r="M11" s="1459"/>
      <c r="N11" s="1462"/>
    </row>
    <row r="12" spans="1:14" x14ac:dyDescent="0.25">
      <c r="A12" s="1810" t="s">
        <v>231</v>
      </c>
      <c r="B12" s="1811"/>
      <c r="C12" s="1811"/>
      <c r="D12" s="1811"/>
      <c r="E12" s="1812"/>
      <c r="F12" s="1524"/>
      <c r="G12" s="1459"/>
      <c r="H12" s="1459"/>
      <c r="I12" s="1523" t="s">
        <v>305</v>
      </c>
      <c r="J12" s="1813">
        <f>Cover!H14</f>
        <v>5016202017</v>
      </c>
      <c r="K12" s="1813"/>
      <c r="L12" s="1813"/>
      <c r="M12" s="1459"/>
      <c r="N12" s="1462"/>
    </row>
    <row r="13" spans="1:14" x14ac:dyDescent="0.25">
      <c r="A13" s="1525"/>
      <c r="B13" s="1526"/>
      <c r="C13" s="1526"/>
      <c r="D13" s="1526"/>
      <c r="E13" s="1527"/>
      <c r="F13" s="1528"/>
      <c r="G13" s="1529"/>
      <c r="H13" s="1529"/>
      <c r="I13" s="1529"/>
      <c r="J13" s="1529"/>
      <c r="K13" s="1529"/>
      <c r="L13" s="1529"/>
      <c r="M13" s="1459"/>
      <c r="N13" s="1462"/>
    </row>
    <row r="14" spans="1:14" x14ac:dyDescent="0.25">
      <c r="A14" s="1530"/>
      <c r="B14" s="1531"/>
      <c r="C14" s="1531"/>
      <c r="D14" s="1532"/>
      <c r="E14" s="1533" t="str">
        <f>"Estimated Actual Expenditures, Fiscal Year "&amp;'B23'!E2-1</f>
        <v>Estimated Actual Expenditures, Fiscal Year 2022</v>
      </c>
      <c r="F14" s="1534"/>
      <c r="G14" s="1534"/>
      <c r="H14" s="1534"/>
      <c r="I14" s="1535" t="str">
        <f>"Budgeted Expenditures, Fiscal Year "&amp;'B23'!E2</f>
        <v>Budgeted Expenditures, Fiscal Year 2023</v>
      </c>
      <c r="J14" s="1534"/>
      <c r="K14" s="1534"/>
      <c r="L14" s="1536"/>
      <c r="M14" s="1459"/>
      <c r="N14" s="1462"/>
    </row>
    <row r="15" spans="1:14" x14ac:dyDescent="0.25">
      <c r="A15" s="1472"/>
      <c r="B15" s="1474"/>
      <c r="C15" s="1537"/>
      <c r="D15" s="1538"/>
      <c r="E15" s="1539" t="s">
        <v>232</v>
      </c>
      <c r="F15" s="1540" t="s">
        <v>233</v>
      </c>
      <c r="G15" s="1541" t="s">
        <v>433</v>
      </c>
      <c r="H15" s="1542"/>
      <c r="I15" s="1540" t="s">
        <v>232</v>
      </c>
      <c r="J15" s="1540" t="s">
        <v>233</v>
      </c>
      <c r="K15" s="1541" t="s">
        <v>433</v>
      </c>
      <c r="L15" s="1540"/>
      <c r="M15" s="1459"/>
      <c r="N15" s="1462"/>
    </row>
    <row r="16" spans="1:14" ht="38.25" x14ac:dyDescent="0.25">
      <c r="A16" s="1814" t="s">
        <v>134</v>
      </c>
      <c r="B16" s="1815"/>
      <c r="C16" s="1816"/>
      <c r="D16" s="1543" t="s">
        <v>802</v>
      </c>
      <c r="E16" s="1543" t="s">
        <v>465</v>
      </c>
      <c r="F16" s="1543" t="s">
        <v>466</v>
      </c>
      <c r="G16" s="1544" t="s">
        <v>801</v>
      </c>
      <c r="H16" s="1545" t="s">
        <v>235</v>
      </c>
      <c r="I16" s="1543" t="s">
        <v>465</v>
      </c>
      <c r="J16" s="1543" t="s">
        <v>466</v>
      </c>
      <c r="K16" s="1544" t="s">
        <v>801</v>
      </c>
      <c r="L16" s="1545" t="s">
        <v>235</v>
      </c>
      <c r="M16" s="1459"/>
      <c r="N16" s="1462"/>
    </row>
    <row r="17" spans="1:14" x14ac:dyDescent="0.25">
      <c r="A17" s="1457">
        <v>1</v>
      </c>
      <c r="B17" s="1496" t="s">
        <v>294</v>
      </c>
      <c r="C17" s="1497"/>
      <c r="D17" s="1498">
        <v>2320</v>
      </c>
      <c r="E17" s="650">
        <v>569473</v>
      </c>
      <c r="F17" s="1495"/>
      <c r="G17" s="650"/>
      <c r="H17" s="1494">
        <f t="shared" ref="H17:H23" si="0">SUM(E17:G17)</f>
        <v>569473</v>
      </c>
      <c r="I17" s="1494">
        <f>'EstExp 12-20'!L52</f>
        <v>597000</v>
      </c>
      <c r="J17" s="1495"/>
      <c r="K17" s="1494">
        <f>'EstExp 12-20'!L361</f>
        <v>0</v>
      </c>
      <c r="L17" s="1494">
        <f t="shared" ref="L17:L23" si="1">SUM(I17:K17)</f>
        <v>597000</v>
      </c>
      <c r="M17" s="1459"/>
      <c r="N17" s="1462"/>
    </row>
    <row r="18" spans="1:14" x14ac:dyDescent="0.25">
      <c r="A18" s="1457">
        <v>2</v>
      </c>
      <c r="B18" s="1496" t="s">
        <v>507</v>
      </c>
      <c r="C18" s="1497"/>
      <c r="D18" s="1498">
        <v>2330</v>
      </c>
      <c r="E18" s="650">
        <v>257644</v>
      </c>
      <c r="F18" s="1495"/>
      <c r="G18" s="650"/>
      <c r="H18" s="1494">
        <f t="shared" si="0"/>
        <v>257644</v>
      </c>
      <c r="I18" s="1494">
        <f>'EstExp 12-20'!L53</f>
        <v>262100</v>
      </c>
      <c r="J18" s="1495"/>
      <c r="K18" s="1494">
        <f>'EstExp 12-20'!L362</f>
        <v>0</v>
      </c>
      <c r="L18" s="1494">
        <f t="shared" si="1"/>
        <v>262100</v>
      </c>
      <c r="M18" s="1459"/>
      <c r="N18" s="1462"/>
    </row>
    <row r="19" spans="1:14" x14ac:dyDescent="0.25">
      <c r="A19" s="1457">
        <v>3</v>
      </c>
      <c r="B19" s="1496" t="s">
        <v>296</v>
      </c>
      <c r="C19" s="1497"/>
      <c r="D19" s="1499">
        <v>2490</v>
      </c>
      <c r="E19" s="650">
        <v>0</v>
      </c>
      <c r="F19" s="1495"/>
      <c r="G19" s="650"/>
      <c r="H19" s="1494">
        <f t="shared" si="0"/>
        <v>0</v>
      </c>
      <c r="I19" s="1494">
        <f>'EstExp 12-20'!L58</f>
        <v>0</v>
      </c>
      <c r="J19" s="1495"/>
      <c r="K19" s="1494">
        <f>'EstExp 12-20'!L368</f>
        <v>0</v>
      </c>
      <c r="L19" s="1494">
        <f t="shared" si="1"/>
        <v>0</v>
      </c>
      <c r="M19" s="1459"/>
      <c r="N19" s="1462"/>
    </row>
    <row r="20" spans="1:14" x14ac:dyDescent="0.25">
      <c r="A20" s="1457">
        <v>4</v>
      </c>
      <c r="B20" s="1496" t="s">
        <v>361</v>
      </c>
      <c r="C20" s="1497"/>
      <c r="D20" s="1498">
        <v>2510</v>
      </c>
      <c r="E20" s="650">
        <v>163301</v>
      </c>
      <c r="F20" s="650"/>
      <c r="G20" s="650"/>
      <c r="H20" s="1494">
        <f t="shared" si="0"/>
        <v>163301</v>
      </c>
      <c r="I20" s="1494">
        <f>'EstExp 12-20'!L61</f>
        <v>173400</v>
      </c>
      <c r="J20" s="1494">
        <f>'EstExp 12-20'!L126</f>
        <v>0</v>
      </c>
      <c r="K20" s="1494">
        <f>'EstExp 12-20'!L371</f>
        <v>0</v>
      </c>
      <c r="L20" s="1494">
        <f t="shared" si="1"/>
        <v>173400</v>
      </c>
      <c r="M20" s="1459"/>
      <c r="N20" s="1462"/>
    </row>
    <row r="21" spans="1:14" x14ac:dyDescent="0.25">
      <c r="A21" s="1457">
        <v>5</v>
      </c>
      <c r="B21" s="1496" t="s">
        <v>366</v>
      </c>
      <c r="C21" s="1497"/>
      <c r="D21" s="1498">
        <v>2570</v>
      </c>
      <c r="E21" s="650">
        <v>194301</v>
      </c>
      <c r="F21" s="1495"/>
      <c r="G21" s="650"/>
      <c r="H21" s="1494">
        <f t="shared" si="0"/>
        <v>194301</v>
      </c>
      <c r="I21" s="1494">
        <f>'EstExp 12-20'!L66</f>
        <v>212000</v>
      </c>
      <c r="J21" s="1495"/>
      <c r="K21" s="1494">
        <f>'EstExp 12-20'!L377</f>
        <v>0</v>
      </c>
      <c r="L21" s="1494">
        <f t="shared" si="1"/>
        <v>212000</v>
      </c>
      <c r="M21" s="1459"/>
      <c r="N21" s="1462"/>
    </row>
    <row r="22" spans="1:14" x14ac:dyDescent="0.25">
      <c r="A22" s="1457">
        <v>6</v>
      </c>
      <c r="B22" s="1496" t="s">
        <v>367</v>
      </c>
      <c r="C22" s="1497"/>
      <c r="D22" s="1498">
        <v>2610</v>
      </c>
      <c r="E22" s="650">
        <v>0</v>
      </c>
      <c r="F22" s="1495"/>
      <c r="G22" s="650"/>
      <c r="H22" s="1494">
        <f t="shared" si="0"/>
        <v>0</v>
      </c>
      <c r="I22" s="1494">
        <f>'EstExp 12-20'!L69</f>
        <v>0</v>
      </c>
      <c r="J22" s="1495"/>
      <c r="K22" s="1494">
        <f>'EstExp 12-20'!L380</f>
        <v>0</v>
      </c>
      <c r="L22" s="1494">
        <f t="shared" si="1"/>
        <v>0</v>
      </c>
      <c r="M22" s="1459"/>
      <c r="N22" s="1462"/>
    </row>
    <row r="23" spans="1:14" ht="28.5" customHeight="1" x14ac:dyDescent="0.25">
      <c r="A23" s="1500">
        <v>7</v>
      </c>
      <c r="B23" s="1817" t="s">
        <v>803</v>
      </c>
      <c r="C23" s="1818"/>
      <c r="D23" s="1819"/>
      <c r="E23" s="650"/>
      <c r="F23" s="650"/>
      <c r="G23" s="649"/>
      <c r="H23" s="1494">
        <f t="shared" si="0"/>
        <v>0</v>
      </c>
      <c r="I23" s="649"/>
      <c r="J23" s="649"/>
      <c r="K23" s="649"/>
      <c r="L23" s="1494">
        <f t="shared" si="1"/>
        <v>0</v>
      </c>
      <c r="M23" s="1459"/>
      <c r="N23" s="1462"/>
    </row>
    <row r="24" spans="1:14" ht="15.75" thickBot="1" x14ac:dyDescent="0.3">
      <c r="A24" s="1457">
        <v>8</v>
      </c>
      <c r="B24" s="1458" t="s">
        <v>238</v>
      </c>
      <c r="C24" s="1459"/>
      <c r="D24" s="1460"/>
      <c r="E24" s="1461">
        <f t="shared" ref="E24:L24" si="2">SUM(E17:E22)-E23</f>
        <v>1184719</v>
      </c>
      <c r="F24" s="1461">
        <f t="shared" si="2"/>
        <v>0</v>
      </c>
      <c r="G24" s="1461">
        <f t="shared" ref="G24" si="3">SUM(G17:G22)-G23</f>
        <v>0</v>
      </c>
      <c r="H24" s="1461">
        <f t="shared" si="2"/>
        <v>1184719</v>
      </c>
      <c r="I24" s="1461">
        <f t="shared" si="2"/>
        <v>1244500</v>
      </c>
      <c r="J24" s="1461">
        <f t="shared" si="2"/>
        <v>0</v>
      </c>
      <c r="K24" s="1461">
        <f t="shared" si="2"/>
        <v>0</v>
      </c>
      <c r="L24" s="1461">
        <f t="shared" si="2"/>
        <v>1244500</v>
      </c>
      <c r="M24" s="1459"/>
      <c r="N24" s="1462"/>
    </row>
    <row r="25" spans="1:14" ht="13.5" customHeight="1" thickTop="1" x14ac:dyDescent="0.25">
      <c r="A25" s="1464">
        <v>9</v>
      </c>
      <c r="B25" s="1796" t="str">
        <f>"Estimated Percent Increase (Decrease) for FY"&amp;'B23'!E2</f>
        <v>Estimated Percent Increase (Decrease) for FY2023</v>
      </c>
      <c r="C25" s="1796"/>
      <c r="D25" s="1465"/>
      <c r="E25" s="1466"/>
      <c r="F25" s="1466"/>
      <c r="G25" s="1466"/>
      <c r="H25" s="1466"/>
      <c r="I25" s="1466"/>
      <c r="J25" s="1466"/>
      <c r="K25" s="1466"/>
      <c r="L25" s="1793">
        <f>IF(AND(H24&gt;0,L24&gt;0),(((L24-H24)/H24)),"Enter Actual Data")</f>
        <v>5.0460066901940458E-2</v>
      </c>
      <c r="M25" s="1459"/>
      <c r="N25" s="1462"/>
    </row>
    <row r="26" spans="1:14" x14ac:dyDescent="0.25">
      <c r="A26" s="1467"/>
      <c r="B26" s="1799" t="s">
        <v>3117</v>
      </c>
      <c r="C26" s="1799"/>
      <c r="D26" s="1468"/>
      <c r="E26" s="1469"/>
      <c r="F26" s="1469"/>
      <c r="G26" s="1469"/>
      <c r="H26" s="1469"/>
      <c r="I26" s="1469"/>
      <c r="J26" s="1469"/>
      <c r="K26" s="1469"/>
      <c r="L26" s="1794"/>
      <c r="M26" s="1459"/>
      <c r="N26" s="1462"/>
    </row>
    <row r="27" spans="1:14" x14ac:dyDescent="0.25">
      <c r="A27" s="1470"/>
      <c r="B27" s="1471"/>
      <c r="C27" s="1459"/>
      <c r="D27" s="1459"/>
      <c r="E27" s="1459"/>
      <c r="F27" s="1459"/>
      <c r="G27" s="1459"/>
      <c r="H27" s="1459"/>
      <c r="I27" s="1459"/>
      <c r="J27" s="1459"/>
      <c r="K27" s="1459"/>
      <c r="L27" s="1459"/>
      <c r="M27" s="1459"/>
      <c r="N27" s="1462"/>
    </row>
    <row r="28" spans="1:14" x14ac:dyDescent="0.25">
      <c r="A28" s="1470"/>
      <c r="B28" s="1471"/>
      <c r="C28" s="1459"/>
      <c r="D28" s="1459"/>
      <c r="E28" s="1459"/>
      <c r="F28" s="1459"/>
      <c r="G28" s="1459"/>
      <c r="H28" s="1459"/>
      <c r="I28" s="1459"/>
      <c r="J28" s="1459"/>
      <c r="K28" s="1459"/>
      <c r="L28" s="1459"/>
      <c r="M28" s="1459"/>
      <c r="N28" s="1462"/>
    </row>
    <row r="29" spans="1:14" x14ac:dyDescent="0.25">
      <c r="A29" s="1472"/>
      <c r="B29" s="1473"/>
      <c r="C29" s="1474"/>
      <c r="D29" s="1474"/>
      <c r="E29" s="1474"/>
      <c r="F29" s="1474"/>
      <c r="G29" s="1474"/>
      <c r="H29" s="1474"/>
      <c r="I29" s="1474"/>
      <c r="J29" s="1474"/>
      <c r="K29" s="1474"/>
      <c r="L29" s="1459"/>
      <c r="M29" s="1459"/>
      <c r="N29" s="1462"/>
    </row>
    <row r="30" spans="1:14" x14ac:dyDescent="0.25">
      <c r="A30" s="1472"/>
      <c r="B30" s="1473"/>
      <c r="C30" s="1474"/>
      <c r="D30" s="1474"/>
      <c r="E30" s="1474"/>
      <c r="F30" s="1474"/>
      <c r="G30" s="1474"/>
      <c r="H30" s="1474"/>
      <c r="I30" s="1474"/>
      <c r="J30" s="1474"/>
      <c r="K30" s="1474"/>
      <c r="L30" s="1459"/>
      <c r="M30" s="1459"/>
      <c r="N30" s="1462"/>
    </row>
    <row r="31" spans="1:14" x14ac:dyDescent="0.25">
      <c r="A31" s="1475"/>
      <c r="B31" s="1471"/>
      <c r="C31" s="1459"/>
      <c r="D31" s="1459"/>
      <c r="E31" s="1459"/>
      <c r="F31" s="1459"/>
      <c r="G31" s="1459"/>
      <c r="H31" s="1459"/>
      <c r="I31" s="1459"/>
      <c r="J31" s="1459"/>
      <c r="K31" s="1459"/>
      <c r="L31" s="1459"/>
      <c r="M31" s="1459"/>
      <c r="N31" s="1462"/>
    </row>
    <row r="32" spans="1:14" x14ac:dyDescent="0.25">
      <c r="A32" s="1476"/>
      <c r="B32" s="1471"/>
      <c r="C32" s="1820"/>
      <c r="D32" s="1820"/>
      <c r="E32" s="1477"/>
      <c r="F32" s="1821"/>
      <c r="G32" s="1821"/>
      <c r="H32" s="1821"/>
      <c r="I32" s="1459"/>
      <c r="J32" s="1459"/>
      <c r="K32" s="1459"/>
      <c r="L32" s="1459"/>
      <c r="M32" s="1459"/>
      <c r="N32" s="1462"/>
    </row>
    <row r="33" spans="1:14" x14ac:dyDescent="0.25">
      <c r="A33" s="1476"/>
      <c r="B33" s="1471"/>
      <c r="C33" s="1478"/>
      <c r="D33" s="1459"/>
      <c r="E33" s="1479"/>
      <c r="F33" s="1822"/>
      <c r="G33" s="1822"/>
      <c r="H33" s="1822"/>
      <c r="I33" s="1459"/>
      <c r="J33" s="1459"/>
      <c r="K33" s="1459"/>
      <c r="L33" s="1459"/>
      <c r="M33" s="1459"/>
      <c r="N33" s="1462"/>
    </row>
    <row r="34" spans="1:14" x14ac:dyDescent="0.25">
      <c r="A34" s="1476"/>
      <c r="B34" s="1471"/>
      <c r="C34" s="1795"/>
      <c r="D34" s="1795"/>
      <c r="E34" s="1480"/>
      <c r="F34" s="1795"/>
      <c r="G34" s="1795"/>
      <c r="H34" s="1795"/>
      <c r="I34" s="1459"/>
      <c r="J34" s="1459"/>
      <c r="K34" s="1459"/>
      <c r="L34" s="1459"/>
      <c r="M34" s="1459"/>
      <c r="N34" s="1462"/>
    </row>
    <row r="35" spans="1:14" x14ac:dyDescent="0.25">
      <c r="A35" s="1476"/>
      <c r="B35" s="1471"/>
      <c r="C35" s="1481"/>
      <c r="D35" s="1459"/>
      <c r="E35" s="1482"/>
      <c r="F35" s="1807"/>
      <c r="G35" s="1807"/>
      <c r="H35" s="1807"/>
      <c r="I35" s="1459"/>
      <c r="J35" s="1459"/>
      <c r="K35" s="1459"/>
      <c r="L35" s="1459"/>
      <c r="M35" s="1459"/>
      <c r="N35" s="1462"/>
    </row>
    <row r="36" spans="1:14" x14ac:dyDescent="0.25">
      <c r="A36" s="1476"/>
      <c r="B36" s="1471"/>
      <c r="C36" s="1483"/>
      <c r="D36" s="1459"/>
      <c r="E36" s="1484"/>
      <c r="F36" s="1485"/>
      <c r="G36" s="1485"/>
      <c r="H36" s="1485"/>
      <c r="I36" s="1459"/>
      <c r="J36" s="1459"/>
      <c r="K36" s="1459"/>
      <c r="L36" s="1459"/>
      <c r="M36" s="1459"/>
      <c r="N36" s="1462"/>
    </row>
    <row r="37" spans="1:14" x14ac:dyDescent="0.25">
      <c r="A37" s="1476"/>
      <c r="B37" s="1486"/>
      <c r="C37" s="1459"/>
      <c r="D37" s="1459"/>
      <c r="E37" s="1459"/>
      <c r="F37" s="1459"/>
      <c r="G37" s="1459"/>
      <c r="H37" s="1459"/>
      <c r="I37" s="1459"/>
      <c r="J37" s="1459"/>
      <c r="K37" s="1459"/>
      <c r="L37" s="1459"/>
      <c r="M37" s="1459"/>
      <c r="N37" s="1462"/>
    </row>
    <row r="38" spans="1:14" x14ac:dyDescent="0.25">
      <c r="A38" s="1476"/>
      <c r="B38" s="1487"/>
      <c r="C38" s="1459"/>
      <c r="D38" s="1459"/>
      <c r="E38" s="1459"/>
      <c r="F38" s="1459"/>
      <c r="G38" s="1459"/>
      <c r="H38" s="1459"/>
      <c r="I38" s="1459"/>
      <c r="J38" s="1459"/>
      <c r="K38" s="1459"/>
      <c r="L38" s="1459"/>
      <c r="M38" s="1459"/>
      <c r="N38" s="1462"/>
    </row>
    <row r="39" spans="1:14" x14ac:dyDescent="0.25">
      <c r="A39" s="1476"/>
      <c r="B39" s="1488"/>
      <c r="C39" s="1800"/>
      <c r="D39" s="1801"/>
      <c r="E39" s="1801"/>
      <c r="F39" s="1801"/>
      <c r="G39" s="1801"/>
      <c r="H39" s="1801"/>
      <c r="I39" s="1801"/>
      <c r="J39" s="1801"/>
      <c r="K39" s="1489"/>
      <c r="L39" s="1459"/>
      <c r="M39" s="1459"/>
      <c r="N39" s="1462"/>
    </row>
    <row r="40" spans="1:14" ht="15.75" thickBot="1" x14ac:dyDescent="0.3">
      <c r="A40" s="1490"/>
      <c r="B40" s="1491"/>
      <c r="C40" s="1802"/>
      <c r="D40" s="1802"/>
      <c r="E40" s="1802"/>
      <c r="F40" s="1802"/>
      <c r="G40" s="1802"/>
      <c r="H40" s="1802"/>
      <c r="I40" s="1802"/>
      <c r="J40" s="1802"/>
      <c r="K40" s="1492"/>
      <c r="L40" s="1491"/>
      <c r="M40" s="1491"/>
      <c r="N40" s="1493"/>
    </row>
  </sheetData>
  <sheetProtection algorithmName="SHA-512" hashValue="hiWQDm/tAIqMdU70gsXHhBKiNoTf8KVfDe0UoWx9syPB48WVc0IqRWdyWCJh7uIOKbPZAtpFqqm2op+2H69dPg==" saltValue="wwTonfBxjzbzsn967x5g/Q==" spinCount="100000" sheet="1" objects="1" scenarios="1"/>
  <mergeCells count="19">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 ref="A5:G5"/>
    <mergeCell ref="H5:J5"/>
    <mergeCell ref="B26:C26"/>
  </mergeCells>
  <hyperlinks>
    <hyperlink ref="G9" r:id="rId1" xr:uid="{00000000-0004-0000-0900-000000000000}"/>
  </hyperlinks>
  <pageMargins left="0.5" right="0.5" top="0.5" bottom="0.5" header="0.3" footer="0.3"/>
  <pageSetup scale="71" firstPageNumber="30" fitToHeight="0" orientation="landscape" useFirstPageNumber="1" r:id="rId2"/>
  <headerFooter>
    <oddHeader>&amp;RPage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G639"/>
  <sheetViews>
    <sheetView showGridLines="0" zoomScale="120" zoomScaleNormal="120" workbookViewId="0">
      <pane ySplit="5" topLeftCell="A6" activePane="bottomLeft" state="frozen"/>
      <selection pane="bottomLeft" activeCell="E9" sqref="E9"/>
    </sheetView>
  </sheetViews>
  <sheetFormatPr defaultColWidth="9.140625" defaultRowHeight="12" x14ac:dyDescent="0.2"/>
  <cols>
    <col min="1" max="1" width="25.140625" style="154" customWidth="1"/>
    <col min="2" max="2" width="22.7109375" style="154" customWidth="1"/>
    <col min="3" max="4" width="16.7109375" style="154" customWidth="1"/>
    <col min="5" max="5" width="19.140625" style="154" customWidth="1"/>
    <col min="6" max="6" width="33.140625" style="154" customWidth="1"/>
    <col min="7" max="7" width="1.140625" style="154" customWidth="1"/>
    <col min="8" max="16384" width="9.140625" style="154"/>
  </cols>
  <sheetData>
    <row r="1" spans="1:7" ht="27" customHeight="1" x14ac:dyDescent="0.2">
      <c r="A1" s="1826" t="s">
        <v>794</v>
      </c>
      <c r="B1" s="1827"/>
      <c r="C1" s="1827"/>
      <c r="D1" s="1827"/>
      <c r="E1" s="1827"/>
      <c r="F1" s="1828"/>
    </row>
    <row r="2" spans="1:7" ht="51" customHeight="1" x14ac:dyDescent="0.2">
      <c r="A2" s="1823" t="s">
        <v>702</v>
      </c>
      <c r="B2" s="1824"/>
      <c r="C2" s="1824"/>
      <c r="D2" s="1824"/>
      <c r="E2" s="1824"/>
      <c r="F2" s="1825"/>
    </row>
    <row r="3" spans="1:7" x14ac:dyDescent="0.2">
      <c r="A3" s="1550" t="s">
        <v>45</v>
      </c>
      <c r="B3" s="1551"/>
      <c r="C3" s="1551"/>
      <c r="D3" s="1551"/>
      <c r="E3" s="1551"/>
      <c r="F3" s="830"/>
    </row>
    <row r="4" spans="1:7" ht="27.75" customHeight="1" x14ac:dyDescent="0.2">
      <c r="A4" s="1829"/>
      <c r="B4" s="1829"/>
      <c r="C4" s="1829"/>
      <c r="D4" s="1829"/>
      <c r="E4" s="1829"/>
      <c r="F4" s="831"/>
    </row>
    <row r="5" spans="1:7" s="1549" customFormat="1" ht="24.75" thickBot="1" x14ac:dyDescent="0.25">
      <c r="A5" s="1547" t="s">
        <v>169</v>
      </c>
      <c r="B5" s="1547" t="s">
        <v>170</v>
      </c>
      <c r="C5" s="1547" t="s">
        <v>171</v>
      </c>
      <c r="D5" s="1547" t="s">
        <v>172</v>
      </c>
      <c r="E5" s="1547" t="s">
        <v>173</v>
      </c>
      <c r="F5" s="1547" t="s">
        <v>148</v>
      </c>
      <c r="G5" s="1548"/>
    </row>
    <row r="6" spans="1:7" x14ac:dyDescent="0.2">
      <c r="A6" s="549"/>
      <c r="B6" s="549"/>
      <c r="C6" s="550"/>
      <c r="D6" s="549"/>
      <c r="E6" s="549"/>
      <c r="F6" s="549"/>
    </row>
    <row r="7" spans="1:7" ht="13.9" customHeight="1" x14ac:dyDescent="0.2">
      <c r="A7" s="1659" t="s">
        <v>3314</v>
      </c>
      <c r="B7" s="551" t="s">
        <v>3315</v>
      </c>
      <c r="C7" s="552">
        <v>2582</v>
      </c>
      <c r="D7" s="551"/>
      <c r="E7" s="551" t="s">
        <v>3316</v>
      </c>
      <c r="F7" s="551"/>
    </row>
    <row r="8" spans="1:7" ht="13.9" customHeight="1" x14ac:dyDescent="0.2">
      <c r="A8" s="551" t="s">
        <v>3317</v>
      </c>
      <c r="B8" s="551" t="s">
        <v>3318</v>
      </c>
      <c r="C8" s="552">
        <v>12938</v>
      </c>
      <c r="D8" s="551"/>
      <c r="E8" s="551" t="s">
        <v>3319</v>
      </c>
      <c r="F8" s="551"/>
    </row>
    <row r="9" spans="1:7" ht="13.9" customHeight="1" x14ac:dyDescent="0.2">
      <c r="A9" s="1552"/>
      <c r="B9" s="1552"/>
      <c r="C9" s="1553"/>
      <c r="D9" s="1552"/>
      <c r="E9" s="1552"/>
      <c r="F9" s="1552"/>
    </row>
    <row r="10" spans="1:7" ht="13.9" customHeight="1" x14ac:dyDescent="0.2">
      <c r="A10" s="1552"/>
      <c r="B10" s="1552"/>
      <c r="C10" s="1553"/>
      <c r="D10" s="1552"/>
      <c r="E10" s="1552"/>
      <c r="F10" s="1552"/>
    </row>
    <row r="11" spans="1:7" ht="13.9" customHeight="1" x14ac:dyDescent="0.2">
      <c r="A11" s="1552"/>
      <c r="B11" s="1552"/>
      <c r="C11" s="1553"/>
      <c r="D11" s="1552"/>
      <c r="E11" s="1552"/>
      <c r="F11" s="1552"/>
    </row>
    <row r="12" spans="1:7" ht="13.9" customHeight="1" x14ac:dyDescent="0.2">
      <c r="A12" s="1552"/>
      <c r="B12" s="1552"/>
      <c r="C12" s="1553"/>
      <c r="D12" s="1552"/>
      <c r="E12" s="1552"/>
      <c r="F12" s="1552"/>
    </row>
    <row r="13" spans="1:7" ht="13.9" customHeight="1" x14ac:dyDescent="0.2">
      <c r="A13" s="1552"/>
      <c r="B13" s="1552"/>
      <c r="C13" s="1553"/>
      <c r="D13" s="1552"/>
      <c r="E13" s="1552"/>
      <c r="F13" s="1552"/>
    </row>
    <row r="14" spans="1:7" ht="13.9" customHeight="1" x14ac:dyDescent="0.2">
      <c r="A14" s="551"/>
      <c r="B14" s="551"/>
      <c r="C14" s="552"/>
      <c r="D14" s="551"/>
      <c r="E14" s="551"/>
      <c r="F14" s="551"/>
    </row>
    <row r="15" spans="1:7" ht="13.9" customHeight="1" x14ac:dyDescent="0.2">
      <c r="A15" s="551"/>
      <c r="B15" s="551"/>
      <c r="C15" s="552"/>
      <c r="D15" s="551"/>
      <c r="E15" s="551"/>
      <c r="F15" s="551"/>
    </row>
    <row r="16" spans="1:7" ht="13.9" customHeight="1" x14ac:dyDescent="0.2">
      <c r="A16" s="551"/>
      <c r="B16" s="551"/>
      <c r="C16" s="552"/>
      <c r="D16" s="551"/>
      <c r="E16" s="551"/>
      <c r="F16" s="551"/>
    </row>
    <row r="17" spans="1:6" ht="13.9" customHeight="1" x14ac:dyDescent="0.2">
      <c r="A17" s="551"/>
      <c r="B17" s="551"/>
      <c r="C17" s="552"/>
      <c r="D17" s="551"/>
      <c r="E17" s="551"/>
      <c r="F17" s="551"/>
    </row>
    <row r="18" spans="1:6" ht="13.9" customHeight="1" x14ac:dyDescent="0.2">
      <c r="A18" s="551"/>
      <c r="B18" s="551"/>
      <c r="C18" s="552"/>
      <c r="D18" s="551"/>
      <c r="E18" s="551"/>
      <c r="F18" s="551"/>
    </row>
    <row r="19" spans="1:6" ht="13.9" customHeight="1" x14ac:dyDescent="0.2">
      <c r="A19" s="551"/>
      <c r="B19" s="551"/>
      <c r="C19" s="552"/>
      <c r="D19" s="551"/>
      <c r="E19" s="551"/>
      <c r="F19" s="551"/>
    </row>
    <row r="20" spans="1:6" ht="13.9" customHeight="1" x14ac:dyDescent="0.2">
      <c r="A20" s="551"/>
      <c r="B20" s="551"/>
      <c r="C20" s="552"/>
      <c r="D20" s="551"/>
      <c r="E20" s="551"/>
      <c r="F20" s="551"/>
    </row>
    <row r="21" spans="1:6" ht="13.9" customHeight="1" x14ac:dyDescent="0.2">
      <c r="A21" s="551"/>
      <c r="B21" s="551"/>
      <c r="C21" s="552"/>
      <c r="D21" s="551"/>
      <c r="E21" s="551"/>
      <c r="F21" s="551"/>
    </row>
    <row r="22" spans="1:6" ht="13.9" customHeight="1" x14ac:dyDescent="0.2">
      <c r="A22" s="551"/>
      <c r="B22" s="551"/>
      <c r="C22" s="552"/>
      <c r="D22" s="551"/>
      <c r="E22" s="551"/>
      <c r="F22" s="551"/>
    </row>
    <row r="23" spans="1:6" ht="13.9" customHeight="1" x14ac:dyDescent="0.2">
      <c r="A23" s="551"/>
      <c r="B23" s="551"/>
      <c r="C23" s="552"/>
      <c r="D23" s="551"/>
      <c r="E23" s="551"/>
      <c r="F23" s="551"/>
    </row>
    <row r="24" spans="1:6" ht="13.9" customHeight="1" x14ac:dyDescent="0.2">
      <c r="A24" s="551"/>
      <c r="B24" s="553"/>
      <c r="C24" s="552"/>
      <c r="D24" s="551"/>
      <c r="E24" s="551"/>
      <c r="F24" s="551"/>
    </row>
    <row r="25" spans="1:6" ht="13.9" customHeight="1" x14ac:dyDescent="0.2">
      <c r="A25" s="551"/>
      <c r="B25" s="551"/>
      <c r="C25" s="552"/>
      <c r="D25" s="551"/>
      <c r="E25" s="551"/>
      <c r="F25" s="551"/>
    </row>
    <row r="26" spans="1:6" ht="13.9" customHeight="1" x14ac:dyDescent="0.2">
      <c r="A26" s="1552"/>
      <c r="B26" s="1552"/>
      <c r="C26" s="1553"/>
      <c r="D26" s="1552"/>
      <c r="E26" s="1552"/>
      <c r="F26" s="1552"/>
    </row>
    <row r="27" spans="1:6" ht="13.9" customHeight="1" x14ac:dyDescent="0.2">
      <c r="A27" s="1552"/>
      <c r="B27" s="1552"/>
      <c r="C27" s="1553"/>
      <c r="D27" s="1552"/>
      <c r="E27" s="1552"/>
      <c r="F27" s="1552"/>
    </row>
    <row r="28" spans="1:6" ht="13.9" customHeight="1" x14ac:dyDescent="0.2">
      <c r="A28" s="1552"/>
      <c r="B28" s="1552"/>
      <c r="C28" s="1553"/>
      <c r="D28" s="1552"/>
      <c r="E28" s="1552"/>
      <c r="F28" s="1552"/>
    </row>
    <row r="29" spans="1:6" ht="13.9" customHeight="1" x14ac:dyDescent="0.2">
      <c r="A29" s="551"/>
      <c r="B29" s="551"/>
      <c r="C29" s="552"/>
      <c r="D29" s="551"/>
      <c r="E29" s="551"/>
      <c r="F29" s="551"/>
    </row>
    <row r="30" spans="1:6" ht="13.9" customHeight="1" x14ac:dyDescent="0.2">
      <c r="A30" s="551"/>
      <c r="B30" s="551"/>
      <c r="C30" s="552"/>
      <c r="D30" s="551"/>
      <c r="E30" s="551"/>
      <c r="F30" s="551"/>
    </row>
    <row r="31" spans="1:6" ht="13.9" customHeight="1" x14ac:dyDescent="0.2">
      <c r="A31" s="551"/>
      <c r="B31" s="551"/>
      <c r="C31" s="552"/>
      <c r="D31" s="551"/>
      <c r="E31" s="551"/>
      <c r="F31" s="551"/>
    </row>
    <row r="32" spans="1:6" ht="13.9" customHeight="1" x14ac:dyDescent="0.2">
      <c r="A32" s="551"/>
      <c r="B32" s="551"/>
      <c r="C32" s="552"/>
      <c r="D32" s="551"/>
      <c r="E32" s="551"/>
      <c r="F32" s="551"/>
    </row>
    <row r="33" spans="1:6" ht="13.9" customHeight="1" x14ac:dyDescent="0.2">
      <c r="A33" s="551"/>
      <c r="B33" s="551"/>
      <c r="C33" s="552"/>
      <c r="D33" s="551"/>
      <c r="E33" s="551"/>
      <c r="F33" s="551"/>
    </row>
    <row r="34" spans="1:6" ht="13.9" customHeight="1" x14ac:dyDescent="0.2">
      <c r="A34" s="551"/>
      <c r="B34" s="551"/>
      <c r="C34" s="552"/>
      <c r="D34" s="551"/>
      <c r="E34" s="551"/>
      <c r="F34" s="551"/>
    </row>
    <row r="35" spans="1:6" ht="13.9" customHeight="1" x14ac:dyDescent="0.2">
      <c r="A35" s="551"/>
      <c r="B35" s="551"/>
      <c r="C35" s="552"/>
      <c r="D35" s="551"/>
      <c r="E35" s="551"/>
      <c r="F35" s="551"/>
    </row>
    <row r="36" spans="1:6" ht="13.9" customHeight="1" x14ac:dyDescent="0.2">
      <c r="A36" s="551"/>
      <c r="B36" s="551"/>
      <c r="C36" s="552"/>
      <c r="D36" s="551"/>
      <c r="E36" s="551"/>
      <c r="F36" s="551"/>
    </row>
    <row r="37" spans="1:6" ht="13.9" customHeight="1" x14ac:dyDescent="0.2">
      <c r="A37" s="551"/>
      <c r="B37" s="551"/>
      <c r="C37" s="552"/>
      <c r="D37" s="551"/>
      <c r="E37" s="551"/>
      <c r="F37" s="551"/>
    </row>
    <row r="38" spans="1:6" ht="13.9" customHeight="1" x14ac:dyDescent="0.2">
      <c r="A38" s="551"/>
      <c r="B38" s="551"/>
      <c r="C38" s="552"/>
      <c r="D38" s="551"/>
      <c r="E38" s="551"/>
      <c r="F38" s="551"/>
    </row>
    <row r="39" spans="1:6" ht="13.9" customHeight="1" x14ac:dyDescent="0.2">
      <c r="A39" s="551"/>
      <c r="B39" s="551"/>
      <c r="C39" s="552"/>
      <c r="D39" s="551"/>
      <c r="E39" s="551"/>
      <c r="F39" s="551"/>
    </row>
    <row r="40" spans="1:6" ht="13.9" customHeight="1" x14ac:dyDescent="0.2">
      <c r="A40" s="551"/>
      <c r="B40" s="551"/>
      <c r="C40" s="552"/>
      <c r="D40" s="551"/>
      <c r="E40" s="551"/>
      <c r="F40" s="551"/>
    </row>
    <row r="41" spans="1:6" ht="13.9" customHeight="1" x14ac:dyDescent="0.2">
      <c r="A41" s="551"/>
      <c r="B41" s="551"/>
      <c r="C41" s="552"/>
      <c r="D41" s="551"/>
      <c r="E41" s="551"/>
      <c r="F41" s="551"/>
    </row>
    <row r="42" spans="1:6" ht="13.9" customHeight="1" x14ac:dyDescent="0.2">
      <c r="A42" s="551"/>
      <c r="B42" s="551"/>
      <c r="C42" s="552"/>
      <c r="D42" s="551"/>
      <c r="E42" s="551"/>
      <c r="F42" s="551"/>
    </row>
    <row r="43" spans="1:6" ht="13.9" customHeight="1" x14ac:dyDescent="0.2">
      <c r="A43" s="551"/>
      <c r="B43" s="551"/>
      <c r="C43" s="552"/>
      <c r="D43" s="551"/>
      <c r="E43" s="551"/>
      <c r="F43" s="551"/>
    </row>
    <row r="44" spans="1:6" ht="13.9" customHeight="1" x14ac:dyDescent="0.2">
      <c r="A44" s="551"/>
      <c r="B44" s="551"/>
      <c r="C44" s="552"/>
      <c r="D44" s="551"/>
      <c r="E44" s="551"/>
      <c r="F44" s="551"/>
    </row>
    <row r="45" spans="1:6" ht="13.9" customHeight="1" x14ac:dyDescent="0.2">
      <c r="A45" s="551"/>
      <c r="B45" s="551"/>
      <c r="C45" s="552"/>
      <c r="D45" s="551"/>
      <c r="E45" s="551"/>
      <c r="F45" s="551"/>
    </row>
    <row r="46" spans="1:6" ht="13.9" customHeight="1" x14ac:dyDescent="0.2">
      <c r="A46" s="551"/>
      <c r="B46" s="551"/>
      <c r="C46" s="552"/>
      <c r="D46" s="551"/>
      <c r="E46" s="551"/>
      <c r="F46" s="551"/>
    </row>
    <row r="47" spans="1:6" ht="13.9" customHeight="1" x14ac:dyDescent="0.2">
      <c r="A47" s="551"/>
      <c r="B47" s="551"/>
      <c r="C47" s="552"/>
      <c r="D47" s="551"/>
      <c r="E47" s="551"/>
      <c r="F47" s="551"/>
    </row>
    <row r="48" spans="1:6" ht="13.9" customHeight="1" x14ac:dyDescent="0.2">
      <c r="A48" s="551"/>
      <c r="B48" s="551"/>
      <c r="C48" s="552"/>
      <c r="D48" s="551"/>
      <c r="E48" s="551"/>
      <c r="F48" s="551"/>
    </row>
    <row r="49" spans="1:6" ht="13.9" customHeight="1" x14ac:dyDescent="0.2">
      <c r="A49" s="551"/>
      <c r="B49" s="551"/>
      <c r="C49" s="552"/>
      <c r="D49" s="551"/>
      <c r="E49" s="551"/>
      <c r="F49" s="551"/>
    </row>
    <row r="50" spans="1:6" ht="13.9" customHeight="1" x14ac:dyDescent="0.2">
      <c r="A50" s="551"/>
      <c r="B50" s="551"/>
      <c r="C50" s="552"/>
      <c r="D50" s="551"/>
      <c r="E50" s="551"/>
      <c r="F50" s="551"/>
    </row>
    <row r="51" spans="1:6" ht="13.9" customHeight="1" x14ac:dyDescent="0.2">
      <c r="A51" s="551"/>
      <c r="B51" s="551"/>
      <c r="C51" s="552"/>
      <c r="D51" s="551"/>
      <c r="E51" s="551"/>
      <c r="F51" s="551"/>
    </row>
    <row r="52" spans="1:6" ht="13.9" customHeight="1" x14ac:dyDescent="0.2">
      <c r="A52" s="551"/>
      <c r="B52" s="551"/>
      <c r="C52" s="552"/>
      <c r="D52" s="551"/>
      <c r="E52" s="551"/>
      <c r="F52" s="551"/>
    </row>
    <row r="53" spans="1:6" ht="13.9" customHeight="1" x14ac:dyDescent="0.2">
      <c r="A53" s="551"/>
      <c r="B53" s="551"/>
      <c r="C53" s="552"/>
      <c r="D53" s="551"/>
      <c r="E53" s="551"/>
      <c r="F53" s="551"/>
    </row>
    <row r="54" spans="1:6" ht="13.9" customHeight="1" x14ac:dyDescent="0.2">
      <c r="A54" s="551"/>
      <c r="B54" s="551"/>
      <c r="C54" s="552"/>
      <c r="D54" s="551"/>
      <c r="E54" s="551"/>
      <c r="F54" s="551"/>
    </row>
    <row r="55" spans="1:6" ht="13.9" customHeight="1" x14ac:dyDescent="0.2">
      <c r="A55" s="551"/>
      <c r="B55" s="551"/>
      <c r="C55" s="552"/>
      <c r="D55" s="551"/>
      <c r="E55" s="551"/>
      <c r="F55" s="551"/>
    </row>
    <row r="56" spans="1:6" ht="13.9" customHeight="1" x14ac:dyDescent="0.2">
      <c r="A56" s="551"/>
      <c r="B56" s="551"/>
      <c r="C56" s="552"/>
      <c r="D56" s="551"/>
      <c r="E56" s="551"/>
      <c r="F56" s="551"/>
    </row>
    <row r="57" spans="1:6" ht="13.9" customHeight="1" x14ac:dyDescent="0.2">
      <c r="A57" s="551"/>
      <c r="B57" s="551"/>
      <c r="C57" s="552"/>
      <c r="D57" s="551"/>
      <c r="E57" s="551"/>
      <c r="F57" s="551"/>
    </row>
    <row r="58" spans="1:6" ht="13.9" customHeight="1" x14ac:dyDescent="0.2">
      <c r="A58" s="551"/>
      <c r="B58" s="551"/>
      <c r="C58" s="552"/>
      <c r="D58" s="551"/>
      <c r="E58" s="551"/>
      <c r="F58" s="551"/>
    </row>
    <row r="59" spans="1:6" ht="13.9" customHeight="1" x14ac:dyDescent="0.2">
      <c r="A59" s="551"/>
      <c r="B59" s="551"/>
      <c r="C59" s="552"/>
      <c r="D59" s="551"/>
      <c r="E59" s="551"/>
      <c r="F59" s="551"/>
    </row>
    <row r="60" spans="1:6" ht="13.9" customHeight="1" x14ac:dyDescent="0.2">
      <c r="A60" s="551"/>
      <c r="B60" s="551"/>
      <c r="C60" s="552"/>
      <c r="D60" s="551"/>
      <c r="E60" s="551"/>
      <c r="F60" s="551"/>
    </row>
    <row r="61" spans="1:6" ht="13.9" customHeight="1" x14ac:dyDescent="0.2">
      <c r="A61" s="551"/>
      <c r="B61" s="551"/>
      <c r="C61" s="552"/>
      <c r="D61" s="551"/>
      <c r="E61" s="551"/>
      <c r="F61" s="551"/>
    </row>
    <row r="62" spans="1:6" ht="13.9" customHeight="1" x14ac:dyDescent="0.2">
      <c r="A62" s="551"/>
      <c r="B62" s="551"/>
      <c r="C62" s="552"/>
      <c r="D62" s="551"/>
      <c r="E62" s="551"/>
      <c r="F62" s="551"/>
    </row>
    <row r="63" spans="1:6" ht="13.9" customHeight="1" x14ac:dyDescent="0.2">
      <c r="A63" s="551"/>
      <c r="B63" s="551"/>
      <c r="C63" s="552"/>
      <c r="D63" s="551"/>
      <c r="E63" s="551"/>
      <c r="F63" s="551"/>
    </row>
    <row r="64" spans="1:6" ht="13.9" customHeight="1" x14ac:dyDescent="0.2">
      <c r="A64" s="551"/>
      <c r="B64" s="551"/>
      <c r="C64" s="552"/>
      <c r="D64" s="551"/>
      <c r="E64" s="551"/>
      <c r="F64" s="551"/>
    </row>
    <row r="65" spans="1:6" ht="13.9" customHeight="1" x14ac:dyDescent="0.2">
      <c r="A65" s="551"/>
      <c r="B65" s="551"/>
      <c r="C65" s="552"/>
      <c r="D65" s="551"/>
      <c r="E65" s="551"/>
      <c r="F65" s="551"/>
    </row>
    <row r="66" spans="1:6" ht="13.9" customHeight="1" x14ac:dyDescent="0.2">
      <c r="A66" s="551"/>
      <c r="B66" s="551"/>
      <c r="C66" s="552"/>
      <c r="D66" s="551"/>
      <c r="E66" s="551"/>
      <c r="F66" s="551"/>
    </row>
    <row r="67" spans="1:6" ht="13.9" customHeight="1" x14ac:dyDescent="0.2">
      <c r="A67" s="551"/>
      <c r="B67" s="551"/>
      <c r="C67" s="552"/>
      <c r="D67" s="551"/>
      <c r="E67" s="551"/>
      <c r="F67" s="551"/>
    </row>
    <row r="68" spans="1:6" ht="13.9" customHeight="1" x14ac:dyDescent="0.2">
      <c r="A68" s="551"/>
      <c r="B68" s="551"/>
      <c r="C68" s="552"/>
      <c r="D68" s="551"/>
      <c r="E68" s="551"/>
      <c r="F68" s="551"/>
    </row>
    <row r="69" spans="1:6" ht="13.9" customHeight="1" x14ac:dyDescent="0.2">
      <c r="A69" s="551"/>
      <c r="B69" s="551"/>
      <c r="C69" s="552"/>
      <c r="D69" s="551"/>
      <c r="E69" s="551"/>
      <c r="F69" s="551"/>
    </row>
    <row r="70" spans="1:6" ht="13.9" customHeight="1" x14ac:dyDescent="0.2">
      <c r="A70" s="551"/>
      <c r="B70" s="551"/>
      <c r="C70" s="552"/>
      <c r="D70" s="551"/>
      <c r="E70" s="551"/>
      <c r="F70" s="551"/>
    </row>
    <row r="71" spans="1:6" ht="13.9" customHeight="1" x14ac:dyDescent="0.2">
      <c r="A71" s="551"/>
      <c r="B71" s="551"/>
      <c r="C71" s="552"/>
      <c r="D71" s="551"/>
      <c r="E71" s="551"/>
      <c r="F71" s="551"/>
    </row>
    <row r="72" spans="1:6" ht="13.9" customHeight="1" x14ac:dyDescent="0.2">
      <c r="A72" s="551"/>
      <c r="B72" s="551"/>
      <c r="C72" s="552"/>
      <c r="D72" s="551"/>
      <c r="E72" s="551"/>
      <c r="F72" s="551"/>
    </row>
    <row r="73" spans="1:6" ht="13.9" customHeight="1" x14ac:dyDescent="0.2">
      <c r="A73" s="551"/>
      <c r="B73" s="551"/>
      <c r="C73" s="552"/>
      <c r="D73" s="551"/>
      <c r="E73" s="551"/>
      <c r="F73" s="551"/>
    </row>
    <row r="74" spans="1:6" ht="13.9" customHeight="1" x14ac:dyDescent="0.2">
      <c r="A74" s="551"/>
      <c r="B74" s="551"/>
      <c r="C74" s="552"/>
      <c r="D74" s="551"/>
      <c r="E74" s="551"/>
      <c r="F74" s="551"/>
    </row>
    <row r="75" spans="1:6" ht="13.9" customHeight="1" x14ac:dyDescent="0.2">
      <c r="A75" s="551"/>
      <c r="B75" s="551"/>
      <c r="C75" s="552"/>
      <c r="D75" s="551"/>
      <c r="E75" s="551"/>
      <c r="F75" s="551"/>
    </row>
    <row r="76" spans="1:6" ht="13.9" customHeight="1" x14ac:dyDescent="0.2">
      <c r="A76" s="551"/>
      <c r="B76" s="551"/>
      <c r="C76" s="552"/>
      <c r="D76" s="551"/>
      <c r="E76" s="551"/>
      <c r="F76" s="551"/>
    </row>
    <row r="77" spans="1:6" ht="13.9" customHeight="1" x14ac:dyDescent="0.2">
      <c r="A77" s="551"/>
      <c r="B77" s="551"/>
      <c r="C77" s="552"/>
      <c r="D77" s="551"/>
      <c r="E77" s="551"/>
      <c r="F77" s="551"/>
    </row>
    <row r="78" spans="1:6" ht="13.9" customHeight="1" x14ac:dyDescent="0.2">
      <c r="A78" s="551"/>
      <c r="B78" s="551"/>
      <c r="C78" s="552"/>
      <c r="D78" s="551"/>
      <c r="E78" s="551"/>
      <c r="F78" s="551"/>
    </row>
    <row r="79" spans="1:6" ht="13.9" customHeight="1" x14ac:dyDescent="0.2">
      <c r="A79" s="551"/>
      <c r="B79" s="551"/>
      <c r="C79" s="552"/>
      <c r="D79" s="551"/>
      <c r="E79" s="551"/>
      <c r="F79" s="551"/>
    </row>
    <row r="80" spans="1:6" ht="13.9" customHeight="1" x14ac:dyDescent="0.2">
      <c r="A80" s="551"/>
      <c r="B80" s="551"/>
      <c r="C80" s="552"/>
      <c r="D80" s="551"/>
      <c r="E80" s="551"/>
      <c r="F80" s="551"/>
    </row>
    <row r="81" spans="1:6" ht="13.9" customHeight="1" x14ac:dyDescent="0.2">
      <c r="A81" s="551"/>
      <c r="B81" s="551"/>
      <c r="C81" s="552"/>
      <c r="D81" s="551"/>
      <c r="E81" s="551"/>
      <c r="F81" s="551"/>
    </row>
    <row r="82" spans="1:6" ht="13.9" customHeight="1" x14ac:dyDescent="0.2">
      <c r="A82" s="551"/>
      <c r="B82" s="551"/>
      <c r="C82" s="552"/>
      <c r="D82" s="551"/>
      <c r="E82" s="551"/>
      <c r="F82" s="551"/>
    </row>
    <row r="83" spans="1:6" ht="13.9" customHeight="1" x14ac:dyDescent="0.2">
      <c r="A83" s="551"/>
      <c r="B83" s="551"/>
      <c r="C83" s="552"/>
      <c r="D83" s="551"/>
      <c r="E83" s="551"/>
      <c r="F83" s="551"/>
    </row>
    <row r="84" spans="1:6" ht="13.9" customHeight="1" x14ac:dyDescent="0.2">
      <c r="A84" s="551"/>
      <c r="B84" s="551"/>
      <c r="C84" s="552"/>
      <c r="D84" s="551"/>
      <c r="E84" s="551"/>
      <c r="F84" s="551"/>
    </row>
    <row r="85" spans="1:6" ht="13.9" customHeight="1" x14ac:dyDescent="0.2">
      <c r="A85" s="551"/>
      <c r="B85" s="551"/>
      <c r="C85" s="552"/>
      <c r="D85" s="551"/>
      <c r="E85" s="551"/>
      <c r="F85" s="551"/>
    </row>
    <row r="86" spans="1:6" ht="13.9" customHeight="1" x14ac:dyDescent="0.2">
      <c r="A86" s="551"/>
      <c r="B86" s="551"/>
      <c r="C86" s="552"/>
      <c r="D86" s="551"/>
      <c r="E86" s="551"/>
      <c r="F86" s="551"/>
    </row>
    <row r="87" spans="1:6" ht="13.9" customHeight="1" x14ac:dyDescent="0.2">
      <c r="A87" s="551"/>
      <c r="B87" s="551"/>
      <c r="C87" s="552"/>
      <c r="D87" s="551"/>
      <c r="E87" s="551"/>
      <c r="F87" s="551"/>
    </row>
    <row r="88" spans="1:6" ht="13.9" customHeight="1" x14ac:dyDescent="0.2">
      <c r="A88" s="551"/>
      <c r="B88" s="551"/>
      <c r="C88" s="552"/>
      <c r="D88" s="551"/>
      <c r="E88" s="551"/>
      <c r="F88" s="551"/>
    </row>
    <row r="89" spans="1:6" ht="13.9" customHeight="1" x14ac:dyDescent="0.2">
      <c r="A89" s="551"/>
      <c r="B89" s="551"/>
      <c r="C89" s="552"/>
      <c r="D89" s="551"/>
      <c r="E89" s="551"/>
      <c r="F89" s="551"/>
    </row>
    <row r="90" spans="1:6" ht="13.9" customHeight="1" x14ac:dyDescent="0.2">
      <c r="A90" s="551"/>
      <c r="B90" s="551"/>
      <c r="C90" s="552"/>
      <c r="D90" s="551"/>
      <c r="E90" s="551"/>
      <c r="F90" s="551"/>
    </row>
    <row r="91" spans="1:6" ht="13.9" customHeight="1" x14ac:dyDescent="0.2">
      <c r="A91" s="551"/>
      <c r="B91" s="551"/>
      <c r="C91" s="552"/>
      <c r="D91" s="551"/>
      <c r="E91" s="551"/>
      <c r="F91" s="551"/>
    </row>
    <row r="92" spans="1:6" ht="13.9" customHeight="1" x14ac:dyDescent="0.2">
      <c r="A92" s="551"/>
      <c r="B92" s="551"/>
      <c r="C92" s="552"/>
      <c r="D92" s="551"/>
      <c r="E92" s="551"/>
      <c r="F92" s="551"/>
    </row>
    <row r="93" spans="1:6" ht="13.9" customHeight="1" x14ac:dyDescent="0.2">
      <c r="A93" s="551"/>
      <c r="B93" s="551"/>
      <c r="C93" s="552"/>
      <c r="D93" s="551"/>
      <c r="E93" s="551"/>
      <c r="F93" s="551"/>
    </row>
    <row r="94" spans="1:6" ht="13.9" customHeight="1" x14ac:dyDescent="0.2">
      <c r="A94" s="551"/>
      <c r="B94" s="551"/>
      <c r="C94" s="552"/>
      <c r="D94" s="551"/>
      <c r="E94" s="551"/>
      <c r="F94" s="551"/>
    </row>
    <row r="95" spans="1:6" ht="13.9" customHeight="1" x14ac:dyDescent="0.2">
      <c r="A95" s="551"/>
      <c r="B95" s="551"/>
      <c r="C95" s="552"/>
      <c r="D95" s="551"/>
      <c r="E95" s="551"/>
      <c r="F95" s="551"/>
    </row>
    <row r="96" spans="1:6" ht="13.9" customHeight="1" x14ac:dyDescent="0.2">
      <c r="A96" s="551"/>
      <c r="B96" s="551"/>
      <c r="C96" s="552"/>
      <c r="D96" s="551"/>
      <c r="E96" s="551"/>
      <c r="F96" s="551"/>
    </row>
    <row r="97" spans="1:6" ht="13.9" customHeight="1" x14ac:dyDescent="0.2">
      <c r="A97" s="551"/>
      <c r="B97" s="551"/>
      <c r="C97" s="552"/>
      <c r="D97" s="551"/>
      <c r="E97" s="551"/>
      <c r="F97" s="551"/>
    </row>
    <row r="98" spans="1:6" ht="13.9" customHeight="1" x14ac:dyDescent="0.2">
      <c r="A98" s="551"/>
      <c r="B98" s="551"/>
      <c r="C98" s="552"/>
      <c r="D98" s="551"/>
      <c r="E98" s="551"/>
      <c r="F98" s="551"/>
    </row>
    <row r="99" spans="1:6" ht="13.9" customHeight="1" x14ac:dyDescent="0.2">
      <c r="A99" s="551"/>
      <c r="B99" s="551"/>
      <c r="C99" s="552"/>
      <c r="D99" s="551"/>
      <c r="E99" s="551"/>
      <c r="F99" s="551"/>
    </row>
    <row r="100" spans="1:6" ht="13.9" customHeight="1" x14ac:dyDescent="0.2">
      <c r="A100" s="551"/>
      <c r="B100" s="551"/>
      <c r="C100" s="552"/>
      <c r="D100" s="551"/>
      <c r="E100" s="551"/>
      <c r="F100" s="551"/>
    </row>
    <row r="101" spans="1:6" ht="13.9" customHeight="1" x14ac:dyDescent="0.2">
      <c r="A101" s="551"/>
      <c r="B101" s="551"/>
      <c r="C101" s="552"/>
      <c r="D101" s="551"/>
      <c r="E101" s="551"/>
      <c r="F101" s="551"/>
    </row>
    <row r="102" spans="1:6" ht="13.9" customHeight="1" x14ac:dyDescent="0.2">
      <c r="A102" s="551"/>
      <c r="B102" s="551"/>
      <c r="C102" s="552"/>
      <c r="D102" s="551"/>
      <c r="E102" s="551"/>
      <c r="F102" s="551"/>
    </row>
    <row r="103" spans="1:6" ht="13.9" customHeight="1" x14ac:dyDescent="0.2">
      <c r="A103" s="551"/>
      <c r="B103" s="551"/>
      <c r="C103" s="552"/>
      <c r="D103" s="551"/>
      <c r="E103" s="551"/>
      <c r="F103" s="551"/>
    </row>
    <row r="104" spans="1:6" ht="13.9" customHeight="1" x14ac:dyDescent="0.2">
      <c r="A104" s="551"/>
      <c r="B104" s="551"/>
      <c r="C104" s="552"/>
      <c r="D104" s="551"/>
      <c r="E104" s="551"/>
      <c r="F104" s="551"/>
    </row>
    <row r="105" spans="1:6" ht="13.9" customHeight="1" x14ac:dyDescent="0.2">
      <c r="A105" s="551"/>
      <c r="B105" s="551"/>
      <c r="C105" s="552"/>
      <c r="D105" s="551"/>
      <c r="E105" s="551"/>
      <c r="F105" s="551"/>
    </row>
    <row r="106" spans="1:6" ht="13.9" customHeight="1" x14ac:dyDescent="0.2">
      <c r="A106" s="551"/>
      <c r="B106" s="551"/>
      <c r="C106" s="552"/>
      <c r="D106" s="551"/>
      <c r="E106" s="551"/>
      <c r="F106" s="551"/>
    </row>
    <row r="107" spans="1:6" ht="13.9" customHeight="1" x14ac:dyDescent="0.2">
      <c r="A107" s="551"/>
      <c r="B107" s="551"/>
      <c r="C107" s="552"/>
      <c r="D107" s="551"/>
      <c r="E107" s="551"/>
      <c r="F107" s="551"/>
    </row>
    <row r="108" spans="1:6" ht="13.9" customHeight="1" x14ac:dyDescent="0.2">
      <c r="A108" s="551"/>
      <c r="B108" s="551"/>
      <c r="C108" s="552"/>
      <c r="D108" s="551"/>
      <c r="E108" s="551"/>
      <c r="F108" s="551"/>
    </row>
    <row r="109" spans="1:6" ht="13.9" customHeight="1" x14ac:dyDescent="0.2">
      <c r="A109" s="551"/>
      <c r="B109" s="551"/>
      <c r="C109" s="552"/>
      <c r="D109" s="551"/>
      <c r="E109" s="551"/>
      <c r="F109" s="551"/>
    </row>
    <row r="110" spans="1:6" ht="13.9" customHeight="1" x14ac:dyDescent="0.2">
      <c r="A110" s="551"/>
      <c r="B110" s="551"/>
      <c r="C110" s="552"/>
      <c r="D110" s="551"/>
      <c r="E110" s="551"/>
      <c r="F110" s="551"/>
    </row>
    <row r="111" spans="1:6" ht="13.9" customHeight="1" x14ac:dyDescent="0.2">
      <c r="A111" s="551"/>
      <c r="B111" s="551"/>
      <c r="C111" s="552"/>
      <c r="D111" s="551"/>
      <c r="E111" s="551"/>
      <c r="F111" s="551"/>
    </row>
    <row r="112" spans="1:6" ht="13.9" customHeight="1" x14ac:dyDescent="0.2">
      <c r="A112" s="551"/>
      <c r="B112" s="551"/>
      <c r="C112" s="552"/>
      <c r="D112" s="551"/>
      <c r="E112" s="551"/>
      <c r="F112" s="551"/>
    </row>
    <row r="113" spans="1:6" ht="13.9" customHeight="1" x14ac:dyDescent="0.2">
      <c r="A113" s="551"/>
      <c r="B113" s="551"/>
      <c r="C113" s="552"/>
      <c r="D113" s="551"/>
      <c r="E113" s="551"/>
      <c r="F113" s="551"/>
    </row>
    <row r="114" spans="1:6" ht="13.9" customHeight="1" x14ac:dyDescent="0.2">
      <c r="A114" s="551"/>
      <c r="B114" s="551"/>
      <c r="C114" s="552"/>
      <c r="D114" s="551"/>
      <c r="E114" s="551"/>
      <c r="F114" s="551"/>
    </row>
    <row r="115" spans="1:6" ht="13.9" customHeight="1" x14ac:dyDescent="0.2">
      <c r="A115" s="551"/>
      <c r="B115" s="551"/>
      <c r="C115" s="552"/>
      <c r="D115" s="551"/>
      <c r="E115" s="551"/>
      <c r="F115" s="551"/>
    </row>
    <row r="116" spans="1:6" ht="13.9" customHeight="1" x14ac:dyDescent="0.2">
      <c r="A116" s="551"/>
      <c r="B116" s="551"/>
      <c r="C116" s="552"/>
      <c r="D116" s="551"/>
      <c r="E116" s="551"/>
      <c r="F116" s="551"/>
    </row>
    <row r="117" spans="1:6" ht="13.9" customHeight="1" x14ac:dyDescent="0.2">
      <c r="A117" s="551"/>
      <c r="B117" s="551"/>
      <c r="C117" s="552"/>
      <c r="D117" s="551"/>
      <c r="E117" s="551"/>
      <c r="F117" s="551"/>
    </row>
    <row r="118" spans="1:6" ht="13.9" customHeight="1" x14ac:dyDescent="0.2">
      <c r="A118" s="551"/>
      <c r="B118" s="551"/>
      <c r="C118" s="552"/>
      <c r="D118" s="551"/>
      <c r="E118" s="551"/>
      <c r="F118" s="551"/>
    </row>
    <row r="119" spans="1:6" ht="13.9" customHeight="1" x14ac:dyDescent="0.2">
      <c r="A119" s="551"/>
      <c r="B119" s="551"/>
      <c r="C119" s="552"/>
      <c r="D119" s="551"/>
      <c r="E119" s="551"/>
      <c r="F119" s="551"/>
    </row>
    <row r="120" spans="1:6" ht="13.9" customHeight="1" x14ac:dyDescent="0.2">
      <c r="A120" s="551"/>
      <c r="B120" s="551"/>
      <c r="C120" s="552"/>
      <c r="D120" s="551"/>
      <c r="E120" s="551"/>
      <c r="F120" s="551"/>
    </row>
    <row r="121" spans="1:6" ht="13.9" customHeight="1" x14ac:dyDescent="0.2">
      <c r="A121" s="551"/>
      <c r="B121" s="551"/>
      <c r="C121" s="552"/>
      <c r="D121" s="551"/>
      <c r="E121" s="551"/>
      <c r="F121" s="551"/>
    </row>
    <row r="122" spans="1:6" ht="13.9" customHeight="1" x14ac:dyDescent="0.2">
      <c r="A122" s="551"/>
      <c r="B122" s="551"/>
      <c r="C122" s="552"/>
      <c r="D122" s="551"/>
      <c r="E122" s="551"/>
      <c r="F122" s="551"/>
    </row>
    <row r="123" spans="1:6" ht="13.9" customHeight="1" x14ac:dyDescent="0.2">
      <c r="A123" s="551"/>
      <c r="B123" s="551"/>
      <c r="C123" s="552"/>
      <c r="D123" s="551"/>
      <c r="E123" s="551"/>
      <c r="F123" s="551"/>
    </row>
    <row r="124" spans="1:6" ht="13.9" customHeight="1" x14ac:dyDescent="0.2">
      <c r="A124" s="551"/>
      <c r="B124" s="551"/>
      <c r="C124" s="552"/>
      <c r="D124" s="551"/>
      <c r="E124" s="551"/>
      <c r="F124" s="551"/>
    </row>
    <row r="125" spans="1:6" ht="13.9" customHeight="1" x14ac:dyDescent="0.2">
      <c r="A125" s="551"/>
      <c r="B125" s="551"/>
      <c r="C125" s="552"/>
      <c r="D125" s="551"/>
      <c r="E125" s="551"/>
      <c r="F125" s="551"/>
    </row>
    <row r="126" spans="1:6" ht="13.9" customHeight="1" x14ac:dyDescent="0.2">
      <c r="A126" s="551"/>
      <c r="B126" s="551"/>
      <c r="C126" s="552"/>
      <c r="D126" s="551"/>
      <c r="E126" s="551"/>
      <c r="F126" s="551"/>
    </row>
    <row r="127" spans="1:6" ht="13.9" customHeight="1" x14ac:dyDescent="0.2">
      <c r="A127" s="551"/>
      <c r="B127" s="551"/>
      <c r="C127" s="552"/>
      <c r="D127" s="551"/>
      <c r="E127" s="551"/>
      <c r="F127" s="551"/>
    </row>
    <row r="128" spans="1:6" ht="13.9" customHeight="1" x14ac:dyDescent="0.2">
      <c r="A128" s="551"/>
      <c r="B128" s="551"/>
      <c r="C128" s="552"/>
      <c r="D128" s="551"/>
      <c r="E128" s="551"/>
      <c r="F128" s="551"/>
    </row>
    <row r="129" spans="1:6" ht="13.9" customHeight="1" x14ac:dyDescent="0.2">
      <c r="A129" s="551"/>
      <c r="B129" s="551"/>
      <c r="C129" s="552"/>
      <c r="D129" s="551"/>
      <c r="E129" s="551"/>
      <c r="F129" s="551"/>
    </row>
    <row r="130" spans="1:6" ht="13.9" customHeight="1" x14ac:dyDescent="0.2">
      <c r="A130" s="551"/>
      <c r="B130" s="551"/>
      <c r="C130" s="552"/>
      <c r="D130" s="551"/>
      <c r="E130" s="551"/>
      <c r="F130" s="551"/>
    </row>
    <row r="131" spans="1:6" ht="13.9" customHeight="1" x14ac:dyDescent="0.2">
      <c r="A131" s="551"/>
      <c r="B131" s="551"/>
      <c r="C131" s="552"/>
      <c r="D131" s="551"/>
      <c r="E131" s="551"/>
      <c r="F131" s="551"/>
    </row>
    <row r="132" spans="1:6" ht="13.9" customHeight="1" x14ac:dyDescent="0.2">
      <c r="A132" s="551"/>
      <c r="B132" s="551"/>
      <c r="C132" s="552"/>
      <c r="D132" s="551"/>
      <c r="E132" s="551"/>
      <c r="F132" s="551"/>
    </row>
    <row r="133" spans="1:6" ht="13.9" customHeight="1" x14ac:dyDescent="0.2">
      <c r="A133" s="551"/>
      <c r="B133" s="551"/>
      <c r="C133" s="552"/>
      <c r="D133" s="551"/>
      <c r="E133" s="551"/>
      <c r="F133" s="551"/>
    </row>
    <row r="134" spans="1:6" ht="13.9" customHeight="1" x14ac:dyDescent="0.2">
      <c r="A134" s="551"/>
      <c r="B134" s="551"/>
      <c r="C134" s="552"/>
      <c r="D134" s="551"/>
      <c r="E134" s="551"/>
      <c r="F134" s="551"/>
    </row>
    <row r="135" spans="1:6" ht="13.9" customHeight="1" x14ac:dyDescent="0.2">
      <c r="A135" s="551"/>
      <c r="B135" s="551"/>
      <c r="C135" s="552"/>
      <c r="D135" s="551"/>
      <c r="E135" s="551"/>
      <c r="F135" s="551"/>
    </row>
    <row r="136" spans="1:6" ht="13.9" customHeight="1" x14ac:dyDescent="0.2">
      <c r="A136" s="551"/>
      <c r="B136" s="551"/>
      <c r="C136" s="552"/>
      <c r="D136" s="551"/>
      <c r="E136" s="551"/>
      <c r="F136" s="551"/>
    </row>
    <row r="137" spans="1:6" ht="13.9" customHeight="1" x14ac:dyDescent="0.2">
      <c r="A137" s="551"/>
      <c r="B137" s="551"/>
      <c r="C137" s="552"/>
      <c r="D137" s="551"/>
      <c r="E137" s="551"/>
      <c r="F137" s="551"/>
    </row>
    <row r="138" spans="1:6" ht="13.9" customHeight="1" x14ac:dyDescent="0.2">
      <c r="A138" s="551"/>
      <c r="B138" s="551"/>
      <c r="C138" s="552"/>
      <c r="D138" s="551"/>
      <c r="E138" s="551"/>
      <c r="F138" s="551"/>
    </row>
    <row r="139" spans="1:6" ht="13.9" customHeight="1" x14ac:dyDescent="0.2">
      <c r="A139" s="551"/>
      <c r="B139" s="551"/>
      <c r="C139" s="552"/>
      <c r="D139" s="551"/>
      <c r="E139" s="551"/>
      <c r="F139" s="551"/>
    </row>
    <row r="140" spans="1:6" ht="13.9" customHeight="1" x14ac:dyDescent="0.2">
      <c r="A140" s="551"/>
      <c r="B140" s="551"/>
      <c r="C140" s="552"/>
      <c r="D140" s="551"/>
      <c r="E140" s="551"/>
      <c r="F140" s="551"/>
    </row>
    <row r="141" spans="1:6" ht="13.9" customHeight="1" x14ac:dyDescent="0.2">
      <c r="A141" s="551"/>
      <c r="B141" s="551"/>
      <c r="C141" s="552"/>
      <c r="D141" s="551"/>
      <c r="E141" s="551"/>
      <c r="F141" s="551"/>
    </row>
    <row r="142" spans="1:6" ht="13.9" customHeight="1" x14ac:dyDescent="0.2">
      <c r="A142" s="551"/>
      <c r="B142" s="551"/>
      <c r="C142" s="552"/>
      <c r="D142" s="551"/>
      <c r="E142" s="551"/>
      <c r="F142" s="551"/>
    </row>
    <row r="143" spans="1:6" ht="13.9" customHeight="1" x14ac:dyDescent="0.2">
      <c r="A143" s="551"/>
      <c r="B143" s="551"/>
      <c r="C143" s="552"/>
      <c r="D143" s="551"/>
      <c r="E143" s="551"/>
      <c r="F143" s="551"/>
    </row>
    <row r="144" spans="1:6" ht="13.9" customHeight="1" x14ac:dyDescent="0.2">
      <c r="A144" s="551"/>
      <c r="B144" s="551"/>
      <c r="C144" s="552"/>
      <c r="D144" s="551"/>
      <c r="E144" s="551"/>
      <c r="F144" s="551"/>
    </row>
    <row r="145" spans="1:6" ht="13.9" customHeight="1" x14ac:dyDescent="0.2">
      <c r="A145" s="551"/>
      <c r="B145" s="551"/>
      <c r="C145" s="552"/>
      <c r="D145" s="551"/>
      <c r="E145" s="551"/>
      <c r="F145" s="551"/>
    </row>
    <row r="146" spans="1:6" ht="13.9" customHeight="1" x14ac:dyDescent="0.2">
      <c r="A146" s="551"/>
      <c r="B146" s="551"/>
      <c r="C146" s="552"/>
      <c r="D146" s="551"/>
      <c r="E146" s="551"/>
      <c r="F146" s="551"/>
    </row>
    <row r="147" spans="1:6" ht="13.9" customHeight="1" x14ac:dyDescent="0.2">
      <c r="A147" s="551"/>
      <c r="B147" s="551"/>
      <c r="C147" s="552"/>
      <c r="D147" s="551"/>
      <c r="E147" s="551"/>
      <c r="F147" s="551"/>
    </row>
    <row r="148" spans="1:6" ht="13.9" customHeight="1" x14ac:dyDescent="0.2">
      <c r="A148" s="551"/>
      <c r="B148" s="551"/>
      <c r="C148" s="552"/>
      <c r="D148" s="551"/>
      <c r="E148" s="551"/>
      <c r="F148" s="551"/>
    </row>
    <row r="149" spans="1:6" ht="13.9" customHeight="1" x14ac:dyDescent="0.2">
      <c r="A149" s="551"/>
      <c r="B149" s="551"/>
      <c r="C149" s="552"/>
      <c r="D149" s="551"/>
      <c r="E149" s="551"/>
      <c r="F149" s="551"/>
    </row>
    <row r="150" spans="1:6" ht="13.9" customHeight="1" x14ac:dyDescent="0.2">
      <c r="A150" s="551"/>
      <c r="B150" s="551"/>
      <c r="C150" s="552"/>
      <c r="D150" s="551"/>
      <c r="E150" s="551"/>
      <c r="F150" s="551"/>
    </row>
    <row r="151" spans="1:6" ht="13.9" customHeight="1" x14ac:dyDescent="0.2">
      <c r="A151" s="551"/>
      <c r="B151" s="551"/>
      <c r="C151" s="552"/>
      <c r="D151" s="551"/>
      <c r="E151" s="551"/>
      <c r="F151" s="551"/>
    </row>
    <row r="152" spans="1:6" ht="13.9" customHeight="1" x14ac:dyDescent="0.2">
      <c r="A152" s="551"/>
      <c r="B152" s="551"/>
      <c r="C152" s="552"/>
      <c r="D152" s="551"/>
      <c r="E152" s="551"/>
      <c r="F152" s="551"/>
    </row>
    <row r="153" spans="1:6" ht="13.9" customHeight="1" x14ac:dyDescent="0.2">
      <c r="A153" s="551"/>
      <c r="B153" s="551"/>
      <c r="C153" s="552"/>
      <c r="D153" s="551"/>
      <c r="E153" s="551"/>
      <c r="F153" s="551"/>
    </row>
    <row r="154" spans="1:6" ht="13.9" customHeight="1" x14ac:dyDescent="0.2">
      <c r="A154" s="551"/>
      <c r="B154" s="551"/>
      <c r="C154" s="552"/>
      <c r="D154" s="551"/>
      <c r="E154" s="551"/>
      <c r="F154" s="551"/>
    </row>
    <row r="155" spans="1:6" ht="13.9" customHeight="1" x14ac:dyDescent="0.2">
      <c r="A155" s="551"/>
      <c r="B155" s="551"/>
      <c r="C155" s="552"/>
      <c r="D155" s="551"/>
      <c r="E155" s="551"/>
      <c r="F155" s="551"/>
    </row>
    <row r="156" spans="1:6" ht="13.9" customHeight="1" x14ac:dyDescent="0.2">
      <c r="A156" s="551"/>
      <c r="B156" s="551"/>
      <c r="C156" s="552"/>
      <c r="D156" s="551"/>
      <c r="E156" s="551"/>
      <c r="F156" s="551"/>
    </row>
    <row r="157" spans="1:6" ht="13.9" customHeight="1" x14ac:dyDescent="0.2">
      <c r="A157" s="551"/>
      <c r="B157" s="551"/>
      <c r="C157" s="552"/>
      <c r="D157" s="551"/>
      <c r="E157" s="551"/>
      <c r="F157" s="551"/>
    </row>
    <row r="158" spans="1:6" ht="13.9" customHeight="1" x14ac:dyDescent="0.2">
      <c r="A158" s="551"/>
      <c r="B158" s="551"/>
      <c r="C158" s="552"/>
      <c r="D158" s="551"/>
      <c r="E158" s="551"/>
      <c r="F158" s="551"/>
    </row>
    <row r="159" spans="1:6" ht="13.9" customHeight="1" x14ac:dyDescent="0.2">
      <c r="A159" s="551"/>
      <c r="B159" s="551"/>
      <c r="C159" s="552"/>
      <c r="D159" s="551"/>
      <c r="E159" s="551"/>
      <c r="F159" s="551"/>
    </row>
    <row r="160" spans="1:6" ht="13.9" customHeight="1" x14ac:dyDescent="0.2">
      <c r="A160" s="551"/>
      <c r="B160" s="551"/>
      <c r="C160" s="552"/>
      <c r="D160" s="551"/>
      <c r="E160" s="551"/>
      <c r="F160" s="551"/>
    </row>
    <row r="161" spans="1:6" ht="13.9" customHeight="1" x14ac:dyDescent="0.2">
      <c r="A161" s="551"/>
      <c r="B161" s="551"/>
      <c r="C161" s="552"/>
      <c r="D161" s="551"/>
      <c r="E161" s="551"/>
      <c r="F161" s="551"/>
    </row>
    <row r="162" spans="1:6" ht="13.9" customHeight="1" x14ac:dyDescent="0.2">
      <c r="A162" s="551"/>
      <c r="B162" s="551"/>
      <c r="C162" s="552"/>
      <c r="D162" s="551"/>
      <c r="E162" s="551"/>
      <c r="F162" s="551"/>
    </row>
    <row r="163" spans="1:6" ht="13.9" customHeight="1" x14ac:dyDescent="0.2">
      <c r="A163" s="551"/>
      <c r="B163" s="551"/>
      <c r="C163" s="552"/>
      <c r="D163" s="551"/>
      <c r="E163" s="551"/>
      <c r="F163" s="551"/>
    </row>
    <row r="164" spans="1:6" ht="13.9" customHeight="1" x14ac:dyDescent="0.2">
      <c r="A164" s="551"/>
      <c r="B164" s="551"/>
      <c r="C164" s="552"/>
      <c r="D164" s="551"/>
      <c r="E164" s="551"/>
      <c r="F164" s="551"/>
    </row>
    <row r="165" spans="1:6" ht="13.9" customHeight="1" x14ac:dyDescent="0.2">
      <c r="A165" s="551"/>
      <c r="B165" s="551"/>
      <c r="C165" s="552"/>
      <c r="D165" s="551"/>
      <c r="E165" s="551"/>
      <c r="F165" s="551"/>
    </row>
    <row r="166" spans="1:6" ht="13.9" customHeight="1" x14ac:dyDescent="0.2">
      <c r="A166" s="551"/>
      <c r="B166" s="551"/>
      <c r="C166" s="552"/>
      <c r="D166" s="551"/>
      <c r="E166" s="551"/>
      <c r="F166" s="551"/>
    </row>
    <row r="167" spans="1:6" ht="13.9" customHeight="1" x14ac:dyDescent="0.2">
      <c r="A167" s="551"/>
      <c r="B167" s="551"/>
      <c r="C167" s="552"/>
      <c r="D167" s="551"/>
      <c r="E167" s="551"/>
      <c r="F167" s="551"/>
    </row>
    <row r="168" spans="1:6" ht="13.9" customHeight="1" x14ac:dyDescent="0.2">
      <c r="A168" s="551"/>
      <c r="B168" s="551"/>
      <c r="C168" s="552"/>
      <c r="D168" s="551"/>
      <c r="E168" s="551"/>
      <c r="F168" s="551"/>
    </row>
    <row r="169" spans="1:6" ht="13.9" customHeight="1" x14ac:dyDescent="0.2">
      <c r="A169" s="551"/>
      <c r="B169" s="551"/>
      <c r="C169" s="552"/>
      <c r="D169" s="551"/>
      <c r="E169" s="551"/>
      <c r="F169" s="551"/>
    </row>
    <row r="170" spans="1:6" ht="13.9" customHeight="1" x14ac:dyDescent="0.2">
      <c r="A170" s="551"/>
      <c r="B170" s="551"/>
      <c r="C170" s="552"/>
      <c r="D170" s="551"/>
      <c r="E170" s="551"/>
      <c r="F170" s="551"/>
    </row>
    <row r="171" spans="1:6" ht="13.9" customHeight="1" x14ac:dyDescent="0.2">
      <c r="A171" s="551"/>
      <c r="B171" s="551"/>
      <c r="C171" s="552"/>
      <c r="D171" s="551"/>
      <c r="E171" s="551"/>
      <c r="F171" s="551"/>
    </row>
    <row r="172" spans="1:6" ht="13.9" customHeight="1" x14ac:dyDescent="0.2">
      <c r="A172" s="551"/>
      <c r="B172" s="551"/>
      <c r="C172" s="552"/>
      <c r="D172" s="551"/>
      <c r="E172" s="551"/>
      <c r="F172" s="551"/>
    </row>
    <row r="173" spans="1:6" ht="13.9" customHeight="1" x14ac:dyDescent="0.2">
      <c r="A173" s="551"/>
      <c r="B173" s="551"/>
      <c r="C173" s="552"/>
      <c r="D173" s="551"/>
      <c r="E173" s="551"/>
      <c r="F173" s="551"/>
    </row>
    <row r="174" spans="1:6" ht="13.9" customHeight="1" x14ac:dyDescent="0.2">
      <c r="A174" s="551"/>
      <c r="B174" s="551"/>
      <c r="C174" s="552"/>
      <c r="D174" s="551"/>
      <c r="E174" s="551"/>
      <c r="F174" s="551"/>
    </row>
    <row r="175" spans="1:6" ht="13.9" customHeight="1" x14ac:dyDescent="0.2">
      <c r="A175" s="551"/>
      <c r="B175" s="551"/>
      <c r="C175" s="552"/>
      <c r="D175" s="551"/>
      <c r="E175" s="551"/>
      <c r="F175" s="551"/>
    </row>
    <row r="176" spans="1:6" ht="13.9" customHeight="1" x14ac:dyDescent="0.2">
      <c r="A176" s="551"/>
      <c r="B176" s="551"/>
      <c r="C176" s="552"/>
      <c r="D176" s="551"/>
      <c r="E176" s="551"/>
      <c r="F176" s="551"/>
    </row>
    <row r="177" spans="1:6" ht="13.9" customHeight="1" x14ac:dyDescent="0.2">
      <c r="A177" s="551"/>
      <c r="B177" s="551"/>
      <c r="C177" s="552"/>
      <c r="D177" s="551"/>
      <c r="E177" s="551"/>
      <c r="F177" s="551"/>
    </row>
    <row r="178" spans="1:6" ht="13.9" customHeight="1" x14ac:dyDescent="0.2">
      <c r="A178" s="551"/>
      <c r="B178" s="551"/>
      <c r="C178" s="552"/>
      <c r="D178" s="551"/>
      <c r="E178" s="551"/>
      <c r="F178" s="551"/>
    </row>
    <row r="179" spans="1:6" ht="13.9" customHeight="1" x14ac:dyDescent="0.2">
      <c r="A179" s="551"/>
      <c r="B179" s="551"/>
      <c r="C179" s="552"/>
      <c r="D179" s="551"/>
      <c r="E179" s="551"/>
      <c r="F179" s="551"/>
    </row>
    <row r="180" spans="1:6" ht="13.9" customHeight="1" x14ac:dyDescent="0.2">
      <c r="A180" s="551"/>
      <c r="B180" s="551"/>
      <c r="C180" s="552"/>
      <c r="D180" s="551"/>
      <c r="E180" s="551"/>
      <c r="F180" s="551"/>
    </row>
    <row r="181" spans="1:6" ht="13.9" customHeight="1" x14ac:dyDescent="0.2">
      <c r="A181" s="551"/>
      <c r="B181" s="551"/>
      <c r="C181" s="552"/>
      <c r="D181" s="551"/>
      <c r="E181" s="551"/>
      <c r="F181" s="551"/>
    </row>
    <row r="182" spans="1:6" ht="13.9" customHeight="1" x14ac:dyDescent="0.2">
      <c r="A182" s="551"/>
      <c r="B182" s="551"/>
      <c r="C182" s="552"/>
      <c r="D182" s="551"/>
      <c r="E182" s="551"/>
      <c r="F182" s="551"/>
    </row>
    <row r="183" spans="1:6" ht="13.9" customHeight="1" x14ac:dyDescent="0.2">
      <c r="A183" s="551"/>
      <c r="B183" s="551"/>
      <c r="C183" s="552"/>
      <c r="D183" s="551"/>
      <c r="E183" s="551"/>
      <c r="F183" s="551"/>
    </row>
    <row r="184" spans="1:6" ht="13.9" customHeight="1" x14ac:dyDescent="0.2">
      <c r="A184" s="551"/>
      <c r="B184" s="551"/>
      <c r="C184" s="552"/>
      <c r="D184" s="551"/>
      <c r="E184" s="551"/>
      <c r="F184" s="551"/>
    </row>
    <row r="185" spans="1:6" ht="13.9" customHeight="1" x14ac:dyDescent="0.2">
      <c r="A185" s="551"/>
      <c r="B185" s="551"/>
      <c r="C185" s="552"/>
      <c r="D185" s="551"/>
      <c r="E185" s="551"/>
      <c r="F185" s="551"/>
    </row>
    <row r="186" spans="1:6" ht="13.9" customHeight="1" x14ac:dyDescent="0.2">
      <c r="A186" s="551"/>
      <c r="B186" s="551"/>
      <c r="C186" s="552"/>
      <c r="D186" s="551"/>
      <c r="E186" s="551"/>
      <c r="F186" s="551"/>
    </row>
    <row r="187" spans="1:6" ht="13.9" customHeight="1" x14ac:dyDescent="0.2">
      <c r="A187" s="551"/>
      <c r="B187" s="551"/>
      <c r="C187" s="552"/>
      <c r="D187" s="551"/>
      <c r="E187" s="551"/>
      <c r="F187" s="551"/>
    </row>
    <row r="188" spans="1:6" ht="13.9" customHeight="1" x14ac:dyDescent="0.2">
      <c r="A188" s="551"/>
      <c r="B188" s="551"/>
      <c r="C188" s="552"/>
      <c r="D188" s="551"/>
      <c r="E188" s="551"/>
      <c r="F188" s="551"/>
    </row>
    <row r="189" spans="1:6" ht="13.9" customHeight="1" x14ac:dyDescent="0.2">
      <c r="A189" s="551"/>
      <c r="B189" s="551"/>
      <c r="C189" s="552"/>
      <c r="D189" s="551"/>
      <c r="E189" s="551"/>
      <c r="F189" s="551"/>
    </row>
    <row r="190" spans="1:6" ht="13.9" customHeight="1" x14ac:dyDescent="0.2">
      <c r="A190" s="551"/>
      <c r="B190" s="551"/>
      <c r="C190" s="552"/>
      <c r="D190" s="551"/>
      <c r="E190" s="551"/>
      <c r="F190" s="551"/>
    </row>
    <row r="191" spans="1:6" ht="13.9" customHeight="1" x14ac:dyDescent="0.2">
      <c r="A191" s="551"/>
      <c r="B191" s="551"/>
      <c r="C191" s="552"/>
      <c r="D191" s="551"/>
      <c r="E191" s="551"/>
      <c r="F191" s="551"/>
    </row>
    <row r="192" spans="1:6" ht="13.9" customHeight="1" x14ac:dyDescent="0.2">
      <c r="A192" s="551"/>
      <c r="B192" s="551"/>
      <c r="C192" s="552"/>
      <c r="D192" s="551"/>
      <c r="E192" s="551"/>
      <c r="F192" s="551"/>
    </row>
    <row r="193" spans="1:6" ht="13.9" customHeight="1" x14ac:dyDescent="0.2">
      <c r="A193" s="551"/>
      <c r="B193" s="551"/>
      <c r="C193" s="552"/>
      <c r="D193" s="551"/>
      <c r="E193" s="551"/>
      <c r="F193" s="551"/>
    </row>
    <row r="194" spans="1:6" ht="13.9" customHeight="1" x14ac:dyDescent="0.2">
      <c r="A194" s="551"/>
      <c r="B194" s="551"/>
      <c r="C194" s="552"/>
      <c r="D194" s="551"/>
      <c r="E194" s="551"/>
      <c r="F194" s="551"/>
    </row>
    <row r="195" spans="1:6" ht="13.9" customHeight="1" x14ac:dyDescent="0.2">
      <c r="A195" s="551"/>
      <c r="B195" s="551"/>
      <c r="C195" s="552"/>
      <c r="D195" s="551"/>
      <c r="E195" s="551"/>
      <c r="F195" s="551"/>
    </row>
    <row r="196" spans="1:6" ht="13.9" customHeight="1" x14ac:dyDescent="0.2">
      <c r="A196" s="551"/>
      <c r="B196" s="551"/>
      <c r="C196" s="552"/>
      <c r="D196" s="551"/>
      <c r="E196" s="551"/>
      <c r="F196" s="551"/>
    </row>
    <row r="197" spans="1:6" ht="13.9" customHeight="1" x14ac:dyDescent="0.2">
      <c r="A197" s="551"/>
      <c r="B197" s="551"/>
      <c r="C197" s="552"/>
      <c r="D197" s="551"/>
      <c r="E197" s="551"/>
      <c r="F197" s="551"/>
    </row>
    <row r="198" spans="1:6" ht="13.9" customHeight="1" x14ac:dyDescent="0.2">
      <c r="A198" s="551"/>
      <c r="B198" s="551"/>
      <c r="C198" s="552"/>
      <c r="D198" s="551"/>
      <c r="E198" s="551"/>
      <c r="F198" s="551"/>
    </row>
    <row r="199" spans="1:6" ht="13.9" customHeight="1" x14ac:dyDescent="0.2">
      <c r="A199" s="551"/>
      <c r="B199" s="551"/>
      <c r="C199" s="552"/>
      <c r="D199" s="551"/>
      <c r="E199" s="551"/>
      <c r="F199" s="551"/>
    </row>
    <row r="200" spans="1:6" ht="13.9" customHeight="1" x14ac:dyDescent="0.2">
      <c r="A200" s="551"/>
      <c r="B200" s="551"/>
      <c r="C200" s="552"/>
      <c r="D200" s="551"/>
      <c r="E200" s="551"/>
      <c r="F200" s="551"/>
    </row>
    <row r="201" spans="1:6" ht="13.9" customHeight="1" x14ac:dyDescent="0.2">
      <c r="A201" s="171"/>
      <c r="B201" s="171"/>
      <c r="C201" s="1546"/>
    </row>
    <row r="202" spans="1:6" ht="13.9" customHeight="1" x14ac:dyDescent="0.2">
      <c r="A202" s="171"/>
      <c r="B202" s="171"/>
      <c r="C202" s="1546"/>
    </row>
    <row r="203" spans="1:6" ht="13.9" customHeight="1" x14ac:dyDescent="0.2">
      <c r="A203" s="171"/>
      <c r="B203" s="171"/>
      <c r="C203" s="1546"/>
    </row>
    <row r="204" spans="1:6" ht="13.9" customHeight="1" x14ac:dyDescent="0.2">
      <c r="A204" s="171"/>
      <c r="B204" s="171"/>
      <c r="C204" s="1546"/>
    </row>
    <row r="205" spans="1:6" ht="13.9" customHeight="1" x14ac:dyDescent="0.2">
      <c r="A205" s="171"/>
      <c r="B205" s="171"/>
      <c r="C205" s="1546"/>
    </row>
    <row r="206" spans="1:6" ht="13.9" customHeight="1" x14ac:dyDescent="0.2">
      <c r="A206" s="171"/>
      <c r="B206" s="171"/>
      <c r="C206" s="1546"/>
    </row>
    <row r="207" spans="1:6" ht="13.9" customHeight="1" x14ac:dyDescent="0.2">
      <c r="A207" s="171"/>
      <c r="B207" s="171"/>
      <c r="C207" s="1546"/>
    </row>
    <row r="208" spans="1:6" ht="13.9" customHeight="1" x14ac:dyDescent="0.2">
      <c r="A208" s="171"/>
      <c r="B208" s="171"/>
      <c r="C208" s="1546"/>
    </row>
    <row r="209" spans="1:3" ht="13.9" customHeight="1" x14ac:dyDescent="0.2">
      <c r="A209" s="171"/>
      <c r="B209" s="171"/>
      <c r="C209" s="1546"/>
    </row>
    <row r="210" spans="1:3" ht="13.9" customHeight="1" x14ac:dyDescent="0.2">
      <c r="A210" s="171"/>
      <c r="B210" s="171"/>
      <c r="C210" s="1546"/>
    </row>
    <row r="211" spans="1:3" ht="13.9" customHeight="1" x14ac:dyDescent="0.2">
      <c r="A211" s="171"/>
      <c r="B211" s="171"/>
      <c r="C211" s="1546"/>
    </row>
    <row r="212" spans="1:3" ht="13.9" customHeight="1" x14ac:dyDescent="0.2">
      <c r="A212" s="171"/>
      <c r="B212" s="171"/>
      <c r="C212" s="1546"/>
    </row>
    <row r="213" spans="1:3" ht="13.9" customHeight="1" x14ac:dyDescent="0.2">
      <c r="A213" s="171"/>
      <c r="B213" s="171"/>
      <c r="C213" s="1546"/>
    </row>
    <row r="214" spans="1:3" ht="13.9" customHeight="1" x14ac:dyDescent="0.2">
      <c r="A214" s="171"/>
      <c r="B214" s="171"/>
      <c r="C214" s="1546"/>
    </row>
    <row r="215" spans="1:3" ht="13.9" customHeight="1" x14ac:dyDescent="0.2">
      <c r="A215" s="171"/>
      <c r="B215" s="171"/>
      <c r="C215" s="1546"/>
    </row>
    <row r="216" spans="1:3" ht="13.9" customHeight="1" x14ac:dyDescent="0.2">
      <c r="A216" s="171"/>
      <c r="B216" s="171"/>
      <c r="C216" s="1546"/>
    </row>
    <row r="217" spans="1:3" ht="13.9" customHeight="1" x14ac:dyDescent="0.2">
      <c r="A217" s="171"/>
      <c r="B217" s="171"/>
      <c r="C217" s="1546"/>
    </row>
    <row r="218" spans="1:3" ht="13.9" customHeight="1" x14ac:dyDescent="0.2">
      <c r="A218" s="171"/>
      <c r="B218" s="171"/>
      <c r="C218" s="1546"/>
    </row>
    <row r="219" spans="1:3" ht="13.9" customHeight="1" x14ac:dyDescent="0.2">
      <c r="A219" s="171"/>
      <c r="B219" s="171"/>
      <c r="C219" s="1546"/>
    </row>
    <row r="220" spans="1:3" ht="13.9" customHeight="1" x14ac:dyDescent="0.2">
      <c r="A220" s="171"/>
      <c r="B220" s="171"/>
      <c r="C220" s="1546"/>
    </row>
    <row r="221" spans="1:3" ht="13.9" customHeight="1" x14ac:dyDescent="0.2">
      <c r="A221" s="171"/>
      <c r="B221" s="171"/>
      <c r="C221" s="1546"/>
    </row>
    <row r="222" spans="1:3" ht="13.9" customHeight="1" x14ac:dyDescent="0.2">
      <c r="A222" s="171"/>
      <c r="B222" s="171"/>
      <c r="C222" s="1546"/>
    </row>
    <row r="223" spans="1:3" ht="13.9" customHeight="1" x14ac:dyDescent="0.2">
      <c r="A223" s="171"/>
      <c r="B223" s="171"/>
      <c r="C223" s="1546"/>
    </row>
    <row r="224" spans="1:3" ht="13.9" customHeight="1" x14ac:dyDescent="0.2">
      <c r="A224" s="171"/>
      <c r="B224" s="171"/>
      <c r="C224" s="1546"/>
    </row>
    <row r="225" spans="1:3" ht="13.9" customHeight="1" x14ac:dyDescent="0.2">
      <c r="A225" s="171"/>
      <c r="B225" s="171"/>
      <c r="C225" s="1546"/>
    </row>
    <row r="226" spans="1:3" ht="13.9" customHeight="1" x14ac:dyDescent="0.2">
      <c r="A226" s="171"/>
      <c r="B226" s="171"/>
      <c r="C226" s="1546"/>
    </row>
    <row r="227" spans="1:3" ht="13.9" customHeight="1" x14ac:dyDescent="0.2">
      <c r="A227" s="171"/>
      <c r="B227" s="171"/>
      <c r="C227" s="1546"/>
    </row>
    <row r="228" spans="1:3" ht="13.9" customHeight="1" x14ac:dyDescent="0.2">
      <c r="A228" s="171"/>
      <c r="B228" s="171"/>
      <c r="C228" s="1546"/>
    </row>
    <row r="229" spans="1:3" ht="13.9" customHeight="1" x14ac:dyDescent="0.2">
      <c r="A229" s="171"/>
      <c r="B229" s="171"/>
      <c r="C229" s="1546"/>
    </row>
    <row r="230" spans="1:3" ht="13.9" customHeight="1" x14ac:dyDescent="0.2">
      <c r="A230" s="171"/>
      <c r="B230" s="171"/>
      <c r="C230" s="1546"/>
    </row>
    <row r="231" spans="1:3" ht="13.9" customHeight="1" x14ac:dyDescent="0.2">
      <c r="A231" s="171"/>
      <c r="B231" s="171"/>
      <c r="C231" s="1546"/>
    </row>
    <row r="232" spans="1:3" ht="13.9" customHeight="1" x14ac:dyDescent="0.2">
      <c r="A232" s="171"/>
      <c r="B232" s="171"/>
      <c r="C232" s="1546"/>
    </row>
    <row r="233" spans="1:3" ht="13.9" customHeight="1" x14ac:dyDescent="0.2">
      <c r="A233" s="171"/>
      <c r="B233" s="171"/>
      <c r="C233" s="1546"/>
    </row>
    <row r="234" spans="1:3" ht="13.9" customHeight="1" x14ac:dyDescent="0.2">
      <c r="A234" s="171"/>
      <c r="B234" s="171"/>
      <c r="C234" s="1546"/>
    </row>
    <row r="235" spans="1:3" ht="13.9" customHeight="1" x14ac:dyDescent="0.2">
      <c r="A235" s="171"/>
      <c r="B235" s="171"/>
      <c r="C235" s="1546"/>
    </row>
    <row r="236" spans="1:3" ht="13.9" customHeight="1" x14ac:dyDescent="0.2">
      <c r="A236" s="171"/>
      <c r="B236" s="171"/>
      <c r="C236" s="1546"/>
    </row>
    <row r="237" spans="1:3" ht="13.9" customHeight="1" x14ac:dyDescent="0.2">
      <c r="A237" s="171"/>
      <c r="B237" s="171"/>
      <c r="C237" s="1546"/>
    </row>
    <row r="238" spans="1:3" ht="13.9" customHeight="1" x14ac:dyDescent="0.2">
      <c r="A238" s="171"/>
      <c r="B238" s="171"/>
      <c r="C238" s="1546"/>
    </row>
    <row r="239" spans="1:3" ht="13.9" customHeight="1" x14ac:dyDescent="0.2">
      <c r="A239" s="171"/>
      <c r="B239" s="171"/>
      <c r="C239" s="1546"/>
    </row>
    <row r="240" spans="1:3" ht="13.9" customHeight="1" x14ac:dyDescent="0.2">
      <c r="A240" s="171"/>
      <c r="B240" s="171"/>
      <c r="C240" s="1546"/>
    </row>
    <row r="241" spans="1:3" ht="13.9" customHeight="1" x14ac:dyDescent="0.2">
      <c r="A241" s="171"/>
      <c r="B241" s="171"/>
      <c r="C241" s="1546"/>
    </row>
    <row r="242" spans="1:3" ht="13.9" customHeight="1" x14ac:dyDescent="0.2">
      <c r="A242" s="171"/>
      <c r="B242" s="171"/>
      <c r="C242" s="1546"/>
    </row>
    <row r="243" spans="1:3" ht="13.9" customHeight="1" x14ac:dyDescent="0.2">
      <c r="A243" s="171"/>
      <c r="B243" s="171"/>
      <c r="C243" s="1546"/>
    </row>
    <row r="244" spans="1:3" ht="13.9" customHeight="1" x14ac:dyDescent="0.2">
      <c r="A244" s="171"/>
      <c r="B244" s="171"/>
      <c r="C244" s="1546"/>
    </row>
    <row r="245" spans="1:3" ht="13.9" customHeight="1" x14ac:dyDescent="0.2">
      <c r="A245" s="171"/>
      <c r="B245" s="171"/>
      <c r="C245" s="1546"/>
    </row>
    <row r="246" spans="1:3" ht="13.9" customHeight="1" x14ac:dyDescent="0.2">
      <c r="A246" s="171"/>
      <c r="B246" s="171"/>
      <c r="C246" s="1546"/>
    </row>
    <row r="247" spans="1:3" ht="13.9" customHeight="1" x14ac:dyDescent="0.2">
      <c r="A247" s="171"/>
      <c r="B247" s="171"/>
      <c r="C247" s="1546"/>
    </row>
    <row r="248" spans="1:3" ht="13.9" customHeight="1" x14ac:dyDescent="0.2">
      <c r="A248" s="171"/>
      <c r="B248" s="171"/>
      <c r="C248" s="1546"/>
    </row>
    <row r="249" spans="1:3" ht="13.9" customHeight="1" x14ac:dyDescent="0.2">
      <c r="A249" s="171"/>
      <c r="B249" s="171"/>
      <c r="C249" s="1546"/>
    </row>
    <row r="250" spans="1:3" ht="13.9" customHeight="1" x14ac:dyDescent="0.2">
      <c r="A250" s="171"/>
      <c r="B250" s="171"/>
      <c r="C250" s="1546"/>
    </row>
    <row r="251" spans="1:3" ht="13.9" customHeight="1" x14ac:dyDescent="0.2">
      <c r="A251" s="171"/>
      <c r="B251" s="171"/>
      <c r="C251" s="1546"/>
    </row>
    <row r="252" spans="1:3" ht="13.9" customHeight="1" x14ac:dyDescent="0.2">
      <c r="A252" s="171"/>
      <c r="B252" s="171"/>
      <c r="C252" s="1546"/>
    </row>
    <row r="253" spans="1:3" ht="13.9" customHeight="1" x14ac:dyDescent="0.2">
      <c r="A253" s="171"/>
      <c r="B253" s="171"/>
      <c r="C253" s="1546"/>
    </row>
    <row r="254" spans="1:3" ht="13.9" customHeight="1" x14ac:dyDescent="0.2">
      <c r="A254" s="171"/>
      <c r="B254" s="171"/>
      <c r="C254" s="1546"/>
    </row>
    <row r="255" spans="1:3" ht="13.9" customHeight="1" x14ac:dyDescent="0.2">
      <c r="A255" s="171"/>
      <c r="B255" s="171"/>
      <c r="C255" s="1546"/>
    </row>
    <row r="256" spans="1:3" ht="13.9" customHeight="1" x14ac:dyDescent="0.2">
      <c r="A256" s="171"/>
      <c r="B256" s="171"/>
      <c r="C256" s="1546"/>
    </row>
    <row r="257" spans="1:3" ht="13.9" customHeight="1" x14ac:dyDescent="0.2">
      <c r="A257" s="171"/>
      <c r="B257" s="171"/>
      <c r="C257" s="1546"/>
    </row>
    <row r="258" spans="1:3" ht="13.9" customHeight="1" x14ac:dyDescent="0.2">
      <c r="A258" s="171"/>
      <c r="B258" s="171"/>
      <c r="C258" s="1546"/>
    </row>
    <row r="259" spans="1:3" ht="13.9" customHeight="1" x14ac:dyDescent="0.2">
      <c r="A259" s="171"/>
      <c r="B259" s="171"/>
      <c r="C259" s="1546"/>
    </row>
    <row r="260" spans="1:3" ht="13.9" customHeight="1" x14ac:dyDescent="0.2">
      <c r="A260" s="171"/>
      <c r="B260" s="171"/>
      <c r="C260" s="1546"/>
    </row>
    <row r="261" spans="1:3" ht="13.9" customHeight="1" x14ac:dyDescent="0.2">
      <c r="A261" s="171"/>
      <c r="B261" s="171"/>
      <c r="C261" s="1546"/>
    </row>
    <row r="262" spans="1:3" ht="13.9" customHeight="1" x14ac:dyDescent="0.2">
      <c r="A262" s="171"/>
      <c r="B262" s="171"/>
      <c r="C262" s="1546"/>
    </row>
    <row r="263" spans="1:3" ht="13.9" customHeight="1" x14ac:dyDescent="0.2">
      <c r="A263" s="171"/>
      <c r="B263" s="171"/>
      <c r="C263" s="1546"/>
    </row>
    <row r="264" spans="1:3" ht="13.9" customHeight="1" x14ac:dyDescent="0.2">
      <c r="A264" s="171"/>
      <c r="B264" s="171"/>
      <c r="C264" s="1546"/>
    </row>
    <row r="265" spans="1:3" ht="13.9" customHeight="1" x14ac:dyDescent="0.2">
      <c r="A265" s="171"/>
      <c r="B265" s="171"/>
      <c r="C265" s="1546"/>
    </row>
    <row r="266" spans="1:3" ht="13.9" customHeight="1" x14ac:dyDescent="0.2">
      <c r="A266" s="171"/>
      <c r="B266" s="171"/>
      <c r="C266" s="1546"/>
    </row>
    <row r="267" spans="1:3" ht="13.9" customHeight="1" x14ac:dyDescent="0.2">
      <c r="A267" s="171"/>
      <c r="B267" s="171"/>
      <c r="C267" s="1546"/>
    </row>
    <row r="268" spans="1:3" ht="13.9" customHeight="1" x14ac:dyDescent="0.2">
      <c r="A268" s="171"/>
      <c r="B268" s="171"/>
      <c r="C268" s="1546"/>
    </row>
    <row r="269" spans="1:3" ht="13.9" customHeight="1" x14ac:dyDescent="0.2">
      <c r="A269" s="171"/>
      <c r="B269" s="171"/>
      <c r="C269" s="1546"/>
    </row>
    <row r="270" spans="1:3" ht="13.9" customHeight="1" x14ac:dyDescent="0.2">
      <c r="A270" s="171"/>
      <c r="B270" s="171"/>
      <c r="C270" s="1546"/>
    </row>
    <row r="271" spans="1:3" ht="13.9" customHeight="1" x14ac:dyDescent="0.2">
      <c r="A271" s="171"/>
      <c r="B271" s="171"/>
      <c r="C271" s="1546"/>
    </row>
    <row r="272" spans="1:3" ht="13.9" customHeight="1" x14ac:dyDescent="0.2">
      <c r="A272" s="171"/>
      <c r="B272" s="171"/>
      <c r="C272" s="1546"/>
    </row>
    <row r="273" spans="1:3" ht="13.9" customHeight="1" x14ac:dyDescent="0.2">
      <c r="A273" s="171"/>
      <c r="B273" s="171"/>
      <c r="C273" s="1546"/>
    </row>
    <row r="274" spans="1:3" ht="13.9" customHeight="1" x14ac:dyDescent="0.2">
      <c r="A274" s="171"/>
      <c r="B274" s="171"/>
      <c r="C274" s="1546"/>
    </row>
    <row r="275" spans="1:3" ht="13.9" customHeight="1" x14ac:dyDescent="0.2">
      <c r="A275" s="171"/>
      <c r="B275" s="171"/>
      <c r="C275" s="1546"/>
    </row>
    <row r="276" spans="1:3" ht="13.9" customHeight="1" x14ac:dyDescent="0.2">
      <c r="A276" s="171"/>
      <c r="B276" s="171"/>
      <c r="C276" s="1546"/>
    </row>
    <row r="277" spans="1:3" ht="13.9" customHeight="1" x14ac:dyDescent="0.2">
      <c r="A277" s="171"/>
      <c r="B277" s="171"/>
      <c r="C277" s="1546"/>
    </row>
    <row r="278" spans="1:3" ht="13.9" customHeight="1" x14ac:dyDescent="0.2">
      <c r="A278" s="171"/>
      <c r="B278" s="171"/>
      <c r="C278" s="1546"/>
    </row>
    <row r="279" spans="1:3" ht="13.9" customHeight="1" x14ac:dyDescent="0.2">
      <c r="A279" s="171"/>
      <c r="B279" s="171"/>
      <c r="C279" s="1546"/>
    </row>
    <row r="280" spans="1:3" ht="13.9" customHeight="1" x14ac:dyDescent="0.2">
      <c r="A280" s="171"/>
      <c r="B280" s="171"/>
      <c r="C280" s="1546"/>
    </row>
    <row r="281" spans="1:3" ht="13.9" customHeight="1" x14ac:dyDescent="0.2">
      <c r="A281" s="171"/>
      <c r="B281" s="171"/>
      <c r="C281" s="1546"/>
    </row>
    <row r="282" spans="1:3" ht="13.9" customHeight="1" x14ac:dyDescent="0.2">
      <c r="A282" s="171"/>
      <c r="B282" s="171"/>
      <c r="C282" s="1546"/>
    </row>
    <row r="283" spans="1:3" ht="13.9" customHeight="1" x14ac:dyDescent="0.2">
      <c r="A283" s="171"/>
      <c r="B283" s="171"/>
      <c r="C283" s="1546"/>
    </row>
    <row r="284" spans="1:3" ht="13.9" customHeight="1" x14ac:dyDescent="0.2">
      <c r="A284" s="171"/>
      <c r="B284" s="171"/>
      <c r="C284" s="1546"/>
    </row>
    <row r="285" spans="1:3" ht="13.9" customHeight="1" x14ac:dyDescent="0.2">
      <c r="A285" s="171"/>
      <c r="B285" s="171"/>
      <c r="C285" s="1546"/>
    </row>
    <row r="286" spans="1:3" ht="13.9" customHeight="1" x14ac:dyDescent="0.2">
      <c r="A286" s="171"/>
      <c r="B286" s="171"/>
      <c r="C286" s="1546"/>
    </row>
    <row r="287" spans="1:3" ht="13.9" customHeight="1" x14ac:dyDescent="0.2">
      <c r="A287" s="171"/>
      <c r="B287" s="171"/>
      <c r="C287" s="1546"/>
    </row>
    <row r="288" spans="1:3" ht="13.9" customHeight="1" x14ac:dyDescent="0.2">
      <c r="A288" s="171"/>
      <c r="B288" s="171"/>
      <c r="C288" s="1546"/>
    </row>
    <row r="289" spans="1:3" ht="13.9" customHeight="1" x14ac:dyDescent="0.2">
      <c r="A289" s="171"/>
      <c r="B289" s="171"/>
      <c r="C289" s="1546"/>
    </row>
    <row r="290" spans="1:3" ht="13.9" customHeight="1" x14ac:dyDescent="0.2">
      <c r="A290" s="171"/>
      <c r="B290" s="171"/>
      <c r="C290" s="1546"/>
    </row>
    <row r="291" spans="1:3" ht="13.9" customHeight="1" x14ac:dyDescent="0.2">
      <c r="A291" s="171"/>
      <c r="B291" s="171"/>
      <c r="C291" s="1546"/>
    </row>
    <row r="292" spans="1:3" ht="13.9" customHeight="1" x14ac:dyDescent="0.2">
      <c r="A292" s="171"/>
      <c r="B292" s="171"/>
      <c r="C292" s="1546"/>
    </row>
    <row r="293" spans="1:3" ht="13.9" customHeight="1" x14ac:dyDescent="0.2">
      <c r="A293" s="171"/>
      <c r="B293" s="171"/>
      <c r="C293" s="1546"/>
    </row>
    <row r="294" spans="1:3" ht="13.9" customHeight="1" x14ac:dyDescent="0.2">
      <c r="A294" s="171"/>
      <c r="B294" s="171"/>
      <c r="C294" s="1546"/>
    </row>
    <row r="295" spans="1:3" ht="13.9" customHeight="1" x14ac:dyDescent="0.2">
      <c r="A295" s="171"/>
      <c r="B295" s="171"/>
      <c r="C295" s="1546"/>
    </row>
    <row r="296" spans="1:3" ht="13.9" customHeight="1" x14ac:dyDescent="0.2">
      <c r="A296" s="171"/>
      <c r="B296" s="171"/>
      <c r="C296" s="1546"/>
    </row>
    <row r="297" spans="1:3" ht="13.9" customHeight="1" x14ac:dyDescent="0.2">
      <c r="A297" s="171"/>
      <c r="B297" s="171"/>
      <c r="C297" s="1546"/>
    </row>
    <row r="298" spans="1:3" ht="13.9" customHeight="1" x14ac:dyDescent="0.2">
      <c r="A298" s="171"/>
      <c r="B298" s="171"/>
      <c r="C298" s="1546"/>
    </row>
    <row r="299" spans="1:3" ht="13.9" customHeight="1" x14ac:dyDescent="0.2">
      <c r="A299" s="171"/>
      <c r="B299" s="171"/>
      <c r="C299" s="1546"/>
    </row>
    <row r="300" spans="1:3" ht="13.9" customHeight="1" x14ac:dyDescent="0.2">
      <c r="A300" s="171"/>
      <c r="B300" s="171"/>
      <c r="C300" s="1546"/>
    </row>
    <row r="301" spans="1:3" ht="13.9" customHeight="1" x14ac:dyDescent="0.2">
      <c r="A301" s="171"/>
      <c r="B301" s="171"/>
      <c r="C301" s="1546"/>
    </row>
    <row r="302" spans="1:3" ht="13.9" customHeight="1" x14ac:dyDescent="0.2">
      <c r="A302" s="171"/>
      <c r="B302" s="171"/>
      <c r="C302" s="1546"/>
    </row>
    <row r="303" spans="1:3" ht="13.9" customHeight="1" x14ac:dyDescent="0.2">
      <c r="A303" s="171"/>
      <c r="B303" s="171"/>
      <c r="C303" s="1546"/>
    </row>
    <row r="304" spans="1:3" ht="13.9" customHeight="1" x14ac:dyDescent="0.2">
      <c r="A304" s="171"/>
      <c r="B304" s="171"/>
      <c r="C304" s="1546"/>
    </row>
    <row r="305" spans="1:3" ht="13.9" customHeight="1" x14ac:dyDescent="0.2">
      <c r="A305" s="171"/>
      <c r="B305" s="171"/>
      <c r="C305" s="1546"/>
    </row>
    <row r="306" spans="1:3" ht="13.9" customHeight="1" x14ac:dyDescent="0.2">
      <c r="A306" s="171"/>
      <c r="B306" s="171"/>
      <c r="C306" s="1546"/>
    </row>
    <row r="307" spans="1:3" ht="13.9" customHeight="1" x14ac:dyDescent="0.2">
      <c r="A307" s="171"/>
      <c r="B307" s="171"/>
      <c r="C307" s="1546"/>
    </row>
    <row r="308" spans="1:3" ht="13.9" customHeight="1" x14ac:dyDescent="0.2">
      <c r="A308" s="171"/>
      <c r="B308" s="171"/>
      <c r="C308" s="1546"/>
    </row>
    <row r="309" spans="1:3" ht="13.9" customHeight="1" x14ac:dyDescent="0.2">
      <c r="A309" s="171"/>
      <c r="B309" s="171"/>
      <c r="C309" s="1546"/>
    </row>
    <row r="310" spans="1:3" ht="13.9" customHeight="1" x14ac:dyDescent="0.2">
      <c r="A310" s="171"/>
      <c r="B310" s="171"/>
      <c r="C310" s="1546"/>
    </row>
    <row r="311" spans="1:3" ht="13.9" customHeight="1" x14ac:dyDescent="0.2">
      <c r="A311" s="171"/>
      <c r="B311" s="171"/>
      <c r="C311" s="1546"/>
    </row>
    <row r="312" spans="1:3" ht="13.9" customHeight="1" x14ac:dyDescent="0.2">
      <c r="A312" s="171"/>
      <c r="B312" s="171"/>
      <c r="C312" s="1546"/>
    </row>
    <row r="313" spans="1:3" ht="13.9" customHeight="1" x14ac:dyDescent="0.2">
      <c r="A313" s="171"/>
      <c r="B313" s="171"/>
      <c r="C313" s="1546"/>
    </row>
    <row r="314" spans="1:3" ht="13.9" customHeight="1" x14ac:dyDescent="0.2">
      <c r="A314" s="171"/>
      <c r="B314" s="171"/>
      <c r="C314" s="1546"/>
    </row>
    <row r="315" spans="1:3" ht="13.9" customHeight="1" x14ac:dyDescent="0.2">
      <c r="A315" s="171"/>
      <c r="B315" s="171"/>
      <c r="C315" s="1546"/>
    </row>
    <row r="316" spans="1:3" ht="13.9" customHeight="1" x14ac:dyDescent="0.2">
      <c r="A316" s="171"/>
      <c r="B316" s="171"/>
      <c r="C316" s="1546"/>
    </row>
    <row r="317" spans="1:3" ht="13.9" customHeight="1" x14ac:dyDescent="0.2">
      <c r="A317" s="171"/>
      <c r="B317" s="171"/>
      <c r="C317" s="1546"/>
    </row>
    <row r="318" spans="1:3" ht="13.9" customHeight="1" x14ac:dyDescent="0.2">
      <c r="A318" s="171"/>
      <c r="B318" s="171"/>
      <c r="C318" s="1546"/>
    </row>
    <row r="319" spans="1:3" ht="13.9" customHeight="1" x14ac:dyDescent="0.2">
      <c r="A319" s="171"/>
      <c r="B319" s="171"/>
      <c r="C319" s="1546"/>
    </row>
    <row r="320" spans="1:3" ht="13.9" customHeight="1" x14ac:dyDescent="0.2">
      <c r="A320" s="171"/>
      <c r="B320" s="171"/>
      <c r="C320" s="1546"/>
    </row>
    <row r="321" spans="1:3" ht="13.9" customHeight="1" x14ac:dyDescent="0.2">
      <c r="A321" s="171"/>
      <c r="B321" s="171"/>
      <c r="C321" s="1546"/>
    </row>
    <row r="322" spans="1:3" ht="13.9" customHeight="1" x14ac:dyDescent="0.2">
      <c r="A322" s="171"/>
      <c r="B322" s="171"/>
      <c r="C322" s="1546"/>
    </row>
    <row r="323" spans="1:3" ht="13.9" customHeight="1" x14ac:dyDescent="0.2">
      <c r="A323" s="171"/>
      <c r="B323" s="171"/>
      <c r="C323" s="1546"/>
    </row>
    <row r="324" spans="1:3" ht="13.9" customHeight="1" x14ac:dyDescent="0.2">
      <c r="A324" s="171"/>
      <c r="B324" s="171"/>
      <c r="C324" s="1546"/>
    </row>
    <row r="325" spans="1:3" ht="13.9" customHeight="1" x14ac:dyDescent="0.2">
      <c r="A325" s="171"/>
      <c r="B325" s="171"/>
      <c r="C325" s="1546"/>
    </row>
    <row r="326" spans="1:3" ht="13.9" customHeight="1" x14ac:dyDescent="0.2">
      <c r="A326" s="171"/>
      <c r="B326" s="171"/>
      <c r="C326" s="1546"/>
    </row>
    <row r="327" spans="1:3" ht="13.9" customHeight="1" x14ac:dyDescent="0.2">
      <c r="A327" s="171"/>
      <c r="B327" s="171"/>
      <c r="C327" s="1546"/>
    </row>
    <row r="328" spans="1:3" ht="13.9" customHeight="1" x14ac:dyDescent="0.2">
      <c r="A328" s="171"/>
      <c r="B328" s="171"/>
      <c r="C328" s="1546"/>
    </row>
    <row r="329" spans="1:3" ht="13.9" customHeight="1" x14ac:dyDescent="0.2">
      <c r="A329" s="171"/>
      <c r="B329" s="171"/>
      <c r="C329" s="1546"/>
    </row>
    <row r="330" spans="1:3" ht="13.9" customHeight="1" x14ac:dyDescent="0.2">
      <c r="A330" s="171"/>
      <c r="B330" s="171"/>
      <c r="C330" s="1546"/>
    </row>
    <row r="331" spans="1:3" ht="13.9" customHeight="1" x14ac:dyDescent="0.2">
      <c r="A331" s="171"/>
      <c r="B331" s="171"/>
      <c r="C331" s="1546"/>
    </row>
    <row r="332" spans="1:3" ht="13.9" customHeight="1" x14ac:dyDescent="0.2">
      <c r="A332" s="171"/>
      <c r="B332" s="171"/>
      <c r="C332" s="1546"/>
    </row>
    <row r="333" spans="1:3" ht="13.9" customHeight="1" x14ac:dyDescent="0.2">
      <c r="A333" s="171"/>
      <c r="B333" s="171"/>
      <c r="C333" s="1546"/>
    </row>
    <row r="334" spans="1:3" ht="13.9" customHeight="1" x14ac:dyDescent="0.2">
      <c r="A334" s="171"/>
      <c r="B334" s="171"/>
      <c r="C334" s="1546"/>
    </row>
    <row r="335" spans="1:3" ht="13.9" customHeight="1" x14ac:dyDescent="0.2">
      <c r="A335" s="171"/>
      <c r="B335" s="171"/>
      <c r="C335" s="1546"/>
    </row>
    <row r="336" spans="1:3" ht="13.9" customHeight="1" x14ac:dyDescent="0.2">
      <c r="A336" s="171"/>
      <c r="B336" s="171"/>
      <c r="C336" s="1546"/>
    </row>
    <row r="337" spans="1:3" ht="13.9" customHeight="1" x14ac:dyDescent="0.2">
      <c r="A337" s="171"/>
      <c r="B337" s="171"/>
      <c r="C337" s="1546"/>
    </row>
    <row r="338" spans="1:3" ht="13.9" customHeight="1" x14ac:dyDescent="0.2">
      <c r="A338" s="171"/>
      <c r="B338" s="171"/>
      <c r="C338" s="1546"/>
    </row>
    <row r="339" spans="1:3" ht="13.9" customHeight="1" x14ac:dyDescent="0.2">
      <c r="A339" s="171"/>
      <c r="B339" s="171"/>
      <c r="C339" s="1546"/>
    </row>
    <row r="340" spans="1:3" ht="13.9" customHeight="1" x14ac:dyDescent="0.2">
      <c r="A340" s="171"/>
      <c r="B340" s="171"/>
      <c r="C340" s="1546"/>
    </row>
    <row r="341" spans="1:3" ht="13.9" customHeight="1" x14ac:dyDescent="0.2">
      <c r="A341" s="171"/>
      <c r="B341" s="171"/>
      <c r="C341" s="1546"/>
    </row>
    <row r="342" spans="1:3" ht="13.9" customHeight="1" x14ac:dyDescent="0.2">
      <c r="A342" s="171"/>
      <c r="B342" s="171"/>
      <c r="C342" s="1546"/>
    </row>
    <row r="343" spans="1:3" ht="13.9" customHeight="1" x14ac:dyDescent="0.2">
      <c r="A343" s="171"/>
      <c r="B343" s="171"/>
      <c r="C343" s="1546"/>
    </row>
    <row r="344" spans="1:3" ht="13.9" customHeight="1" x14ac:dyDescent="0.2">
      <c r="A344" s="171"/>
      <c r="B344" s="171"/>
      <c r="C344" s="1546"/>
    </row>
    <row r="345" spans="1:3" ht="13.9" customHeight="1" x14ac:dyDescent="0.2">
      <c r="A345" s="171"/>
      <c r="B345" s="171"/>
      <c r="C345" s="1546"/>
    </row>
    <row r="346" spans="1:3" ht="13.9" customHeight="1" x14ac:dyDescent="0.2">
      <c r="A346" s="171"/>
      <c r="B346" s="171"/>
      <c r="C346" s="1546"/>
    </row>
    <row r="347" spans="1:3" ht="13.9" customHeight="1" x14ac:dyDescent="0.2">
      <c r="A347" s="171"/>
      <c r="B347" s="171"/>
      <c r="C347" s="1546"/>
    </row>
    <row r="348" spans="1:3" ht="13.9" customHeight="1" x14ac:dyDescent="0.2">
      <c r="A348" s="171"/>
      <c r="B348" s="171"/>
      <c r="C348" s="1546"/>
    </row>
    <row r="349" spans="1:3" ht="13.9" customHeight="1" x14ac:dyDescent="0.2">
      <c r="A349" s="171"/>
      <c r="B349" s="171"/>
      <c r="C349" s="1546"/>
    </row>
    <row r="350" spans="1:3" ht="13.9" customHeight="1" x14ac:dyDescent="0.2">
      <c r="A350" s="171"/>
      <c r="B350" s="171"/>
      <c r="C350" s="1546"/>
    </row>
    <row r="351" spans="1:3" ht="13.9" customHeight="1" x14ac:dyDescent="0.2">
      <c r="A351" s="171"/>
      <c r="B351" s="171"/>
      <c r="C351" s="1546"/>
    </row>
    <row r="352" spans="1:3" ht="13.9" customHeight="1" x14ac:dyDescent="0.2">
      <c r="A352" s="171"/>
      <c r="B352" s="171"/>
      <c r="C352" s="1546"/>
    </row>
    <row r="353" spans="1:3" ht="13.9" customHeight="1" x14ac:dyDescent="0.2">
      <c r="A353" s="171"/>
      <c r="B353" s="171"/>
      <c r="C353" s="1546"/>
    </row>
    <row r="354" spans="1:3" ht="13.9" customHeight="1" x14ac:dyDescent="0.2">
      <c r="A354" s="171"/>
      <c r="B354" s="171"/>
      <c r="C354" s="1546"/>
    </row>
    <row r="355" spans="1:3" ht="13.9" customHeight="1" x14ac:dyDescent="0.2">
      <c r="A355" s="171"/>
      <c r="B355" s="171"/>
      <c r="C355" s="1546"/>
    </row>
    <row r="356" spans="1:3" ht="13.9" customHeight="1" x14ac:dyDescent="0.2">
      <c r="A356" s="171"/>
      <c r="B356" s="171"/>
      <c r="C356" s="1546"/>
    </row>
    <row r="357" spans="1:3" ht="13.9" customHeight="1" x14ac:dyDescent="0.2">
      <c r="A357" s="171"/>
      <c r="B357" s="171"/>
      <c r="C357" s="1546"/>
    </row>
    <row r="358" spans="1:3" ht="13.9" customHeight="1" x14ac:dyDescent="0.2">
      <c r="A358" s="171"/>
      <c r="B358" s="171"/>
      <c r="C358" s="1546"/>
    </row>
    <row r="359" spans="1:3" ht="13.9" customHeight="1" x14ac:dyDescent="0.2">
      <c r="A359" s="171"/>
      <c r="B359" s="171"/>
      <c r="C359" s="1546"/>
    </row>
    <row r="360" spans="1:3" ht="13.9" customHeight="1" x14ac:dyDescent="0.2">
      <c r="A360" s="171"/>
      <c r="B360" s="171"/>
      <c r="C360" s="1546"/>
    </row>
    <row r="361" spans="1:3" ht="13.9" customHeight="1" x14ac:dyDescent="0.2">
      <c r="A361" s="171"/>
      <c r="B361" s="171"/>
      <c r="C361" s="1546"/>
    </row>
    <row r="362" spans="1:3" ht="13.9" customHeight="1" x14ac:dyDescent="0.2">
      <c r="A362" s="171"/>
      <c r="B362" s="171"/>
      <c r="C362" s="1546"/>
    </row>
    <row r="363" spans="1:3" ht="13.9" customHeight="1" x14ac:dyDescent="0.2">
      <c r="A363" s="171"/>
      <c r="B363" s="171"/>
      <c r="C363" s="1546"/>
    </row>
    <row r="364" spans="1:3" ht="13.9" customHeight="1" x14ac:dyDescent="0.2">
      <c r="A364" s="171"/>
      <c r="B364" s="171"/>
      <c r="C364" s="1546"/>
    </row>
    <row r="365" spans="1:3" ht="13.9" customHeight="1" x14ac:dyDescent="0.2">
      <c r="A365" s="171"/>
      <c r="B365" s="171"/>
      <c r="C365" s="1546"/>
    </row>
    <row r="366" spans="1:3" ht="13.9" customHeight="1" x14ac:dyDescent="0.2">
      <c r="A366" s="171"/>
      <c r="B366" s="171"/>
      <c r="C366" s="1546"/>
    </row>
    <row r="367" spans="1:3" ht="13.9" customHeight="1" x14ac:dyDescent="0.2">
      <c r="A367" s="171"/>
      <c r="B367" s="171"/>
      <c r="C367" s="1546"/>
    </row>
    <row r="368" spans="1:3" ht="13.9" customHeight="1" x14ac:dyDescent="0.2">
      <c r="A368" s="171"/>
      <c r="B368" s="171"/>
      <c r="C368" s="1546"/>
    </row>
    <row r="369" spans="1:3" ht="13.9" customHeight="1" x14ac:dyDescent="0.2">
      <c r="A369" s="171"/>
      <c r="B369" s="171"/>
      <c r="C369" s="1546"/>
    </row>
    <row r="370" spans="1:3" ht="13.9" customHeight="1" x14ac:dyDescent="0.2">
      <c r="A370" s="171"/>
      <c r="B370" s="171"/>
      <c r="C370" s="1546"/>
    </row>
    <row r="371" spans="1:3" ht="13.9" customHeight="1" x14ac:dyDescent="0.2">
      <c r="A371" s="171"/>
      <c r="B371" s="171"/>
      <c r="C371" s="1546"/>
    </row>
    <row r="372" spans="1:3" ht="13.9" customHeight="1" x14ac:dyDescent="0.2">
      <c r="A372" s="171"/>
      <c r="B372" s="171"/>
      <c r="C372" s="1546"/>
    </row>
    <row r="373" spans="1:3" ht="13.9" customHeight="1" x14ac:dyDescent="0.2">
      <c r="A373" s="171"/>
      <c r="B373" s="171"/>
      <c r="C373" s="1546"/>
    </row>
    <row r="374" spans="1:3" ht="13.9" customHeight="1" x14ac:dyDescent="0.2">
      <c r="A374" s="171"/>
      <c r="B374" s="171"/>
      <c r="C374" s="1546"/>
    </row>
    <row r="375" spans="1:3" ht="13.9" customHeight="1" x14ac:dyDescent="0.2">
      <c r="A375" s="171"/>
      <c r="B375" s="171"/>
      <c r="C375" s="1546"/>
    </row>
    <row r="376" spans="1:3" ht="13.9" customHeight="1" x14ac:dyDescent="0.2">
      <c r="A376" s="171"/>
      <c r="B376" s="171"/>
      <c r="C376" s="1546"/>
    </row>
    <row r="377" spans="1:3" ht="13.9" customHeight="1" x14ac:dyDescent="0.2">
      <c r="A377" s="171"/>
      <c r="B377" s="171"/>
      <c r="C377" s="1546"/>
    </row>
    <row r="378" spans="1:3" ht="13.9" customHeight="1" x14ac:dyDescent="0.2">
      <c r="A378" s="171"/>
      <c r="B378" s="171"/>
      <c r="C378" s="1546"/>
    </row>
    <row r="379" spans="1:3" ht="13.9" customHeight="1" x14ac:dyDescent="0.2">
      <c r="A379" s="171"/>
      <c r="B379" s="171"/>
      <c r="C379" s="1546"/>
    </row>
    <row r="380" spans="1:3" ht="13.9" customHeight="1" x14ac:dyDescent="0.2">
      <c r="A380" s="171"/>
      <c r="B380" s="171"/>
      <c r="C380" s="1546"/>
    </row>
    <row r="381" spans="1:3" ht="13.9" customHeight="1" x14ac:dyDescent="0.2">
      <c r="A381" s="171"/>
      <c r="B381" s="171"/>
      <c r="C381" s="1546"/>
    </row>
    <row r="382" spans="1:3" ht="13.9" customHeight="1" x14ac:dyDescent="0.2">
      <c r="A382" s="171"/>
      <c r="B382" s="171"/>
      <c r="C382" s="1546"/>
    </row>
    <row r="383" spans="1:3" ht="13.9" customHeight="1" x14ac:dyDescent="0.2">
      <c r="A383" s="171"/>
      <c r="B383" s="171"/>
      <c r="C383" s="1546"/>
    </row>
    <row r="384" spans="1:3" ht="13.9" customHeight="1" x14ac:dyDescent="0.2">
      <c r="A384" s="171"/>
      <c r="B384" s="171"/>
      <c r="C384" s="1546"/>
    </row>
    <row r="385" spans="1:3" ht="13.9" customHeight="1" x14ac:dyDescent="0.2">
      <c r="A385" s="171"/>
      <c r="B385" s="171"/>
      <c r="C385" s="1546"/>
    </row>
    <row r="386" spans="1:3" ht="13.9" customHeight="1" x14ac:dyDescent="0.2">
      <c r="A386" s="171"/>
      <c r="B386" s="171"/>
      <c r="C386" s="1546"/>
    </row>
    <row r="387" spans="1:3" ht="13.9" customHeight="1" x14ac:dyDescent="0.2">
      <c r="A387" s="171"/>
      <c r="B387" s="171"/>
      <c r="C387" s="1546"/>
    </row>
    <row r="388" spans="1:3" ht="13.9" customHeight="1" x14ac:dyDescent="0.2">
      <c r="A388" s="171"/>
      <c r="B388" s="171"/>
      <c r="C388" s="1546"/>
    </row>
    <row r="389" spans="1:3" ht="13.9" customHeight="1" x14ac:dyDescent="0.2">
      <c r="A389" s="171"/>
      <c r="B389" s="171"/>
      <c r="C389" s="1546"/>
    </row>
    <row r="390" spans="1:3" ht="13.9" customHeight="1" x14ac:dyDescent="0.2">
      <c r="A390" s="171"/>
      <c r="B390" s="171"/>
      <c r="C390" s="1546"/>
    </row>
    <row r="391" spans="1:3" ht="13.9" customHeight="1" x14ac:dyDescent="0.2">
      <c r="A391" s="171"/>
      <c r="B391" s="171"/>
      <c r="C391" s="1546"/>
    </row>
    <row r="392" spans="1:3" ht="13.9" customHeight="1" x14ac:dyDescent="0.2">
      <c r="A392" s="171"/>
      <c r="B392" s="171"/>
      <c r="C392" s="1546"/>
    </row>
    <row r="393" spans="1:3" ht="13.9" customHeight="1" x14ac:dyDescent="0.2">
      <c r="A393" s="171"/>
      <c r="B393" s="171"/>
      <c r="C393" s="1546"/>
    </row>
    <row r="394" spans="1:3" ht="13.9" customHeight="1" x14ac:dyDescent="0.2">
      <c r="A394" s="171"/>
      <c r="B394" s="171"/>
      <c r="C394" s="1546"/>
    </row>
    <row r="395" spans="1:3" ht="13.9" customHeight="1" x14ac:dyDescent="0.2">
      <c r="A395" s="171"/>
      <c r="B395" s="171"/>
      <c r="C395" s="1546"/>
    </row>
    <row r="396" spans="1:3" ht="13.9" customHeight="1" x14ac:dyDescent="0.2">
      <c r="A396" s="171"/>
      <c r="B396" s="171"/>
      <c r="C396" s="1546"/>
    </row>
    <row r="397" spans="1:3" ht="13.9" customHeight="1" x14ac:dyDescent="0.2">
      <c r="A397" s="171"/>
      <c r="B397" s="171"/>
      <c r="C397" s="1546"/>
    </row>
    <row r="398" spans="1:3" ht="13.9" customHeight="1" x14ac:dyDescent="0.2">
      <c r="A398" s="171"/>
      <c r="B398" s="171"/>
      <c r="C398" s="1546"/>
    </row>
    <row r="399" spans="1:3" ht="13.9" customHeight="1" x14ac:dyDescent="0.2">
      <c r="A399" s="171"/>
      <c r="B399" s="171"/>
      <c r="C399" s="1546"/>
    </row>
    <row r="400" spans="1:3" ht="13.9" customHeight="1" x14ac:dyDescent="0.2">
      <c r="A400" s="171"/>
      <c r="B400" s="171"/>
      <c r="C400" s="1546"/>
    </row>
    <row r="401" spans="1:3" ht="13.9" customHeight="1" x14ac:dyDescent="0.2">
      <c r="A401" s="171"/>
      <c r="B401" s="171"/>
      <c r="C401" s="1546"/>
    </row>
    <row r="402" spans="1:3" ht="13.9" customHeight="1" x14ac:dyDescent="0.2">
      <c r="A402" s="171"/>
      <c r="B402" s="171"/>
      <c r="C402" s="1546"/>
    </row>
    <row r="403" spans="1:3" ht="13.9" customHeight="1" x14ac:dyDescent="0.2">
      <c r="A403" s="171"/>
      <c r="B403" s="171"/>
      <c r="C403" s="1546"/>
    </row>
    <row r="404" spans="1:3" ht="13.9" customHeight="1" x14ac:dyDescent="0.2">
      <c r="A404" s="171"/>
      <c r="B404" s="171"/>
      <c r="C404" s="1546"/>
    </row>
    <row r="405" spans="1:3" ht="13.9" customHeight="1" x14ac:dyDescent="0.2">
      <c r="A405" s="171"/>
      <c r="B405" s="171"/>
      <c r="C405" s="1546"/>
    </row>
    <row r="406" spans="1:3" ht="13.9" customHeight="1" x14ac:dyDescent="0.2">
      <c r="A406" s="171"/>
      <c r="B406" s="171"/>
      <c r="C406" s="1546"/>
    </row>
    <row r="407" spans="1:3" ht="13.9" customHeight="1" x14ac:dyDescent="0.2">
      <c r="A407" s="171"/>
      <c r="B407" s="171"/>
      <c r="C407" s="1546"/>
    </row>
    <row r="408" spans="1:3" ht="13.9" customHeight="1" x14ac:dyDescent="0.2">
      <c r="A408" s="171"/>
      <c r="B408" s="171"/>
      <c r="C408" s="1546"/>
    </row>
    <row r="409" spans="1:3" ht="13.9" customHeight="1" x14ac:dyDescent="0.2">
      <c r="A409" s="171"/>
      <c r="B409" s="171"/>
      <c r="C409" s="1546"/>
    </row>
    <row r="410" spans="1:3" ht="13.9" customHeight="1" x14ac:dyDescent="0.2">
      <c r="A410" s="171"/>
      <c r="B410" s="171"/>
      <c r="C410" s="1546"/>
    </row>
    <row r="411" spans="1:3" ht="13.9" customHeight="1" x14ac:dyDescent="0.2">
      <c r="A411" s="171"/>
      <c r="B411" s="171"/>
      <c r="C411" s="1546"/>
    </row>
    <row r="412" spans="1:3" ht="13.9" customHeight="1" x14ac:dyDescent="0.2">
      <c r="A412" s="171"/>
      <c r="B412" s="171"/>
      <c r="C412" s="1546"/>
    </row>
    <row r="413" spans="1:3" ht="13.9" customHeight="1" x14ac:dyDescent="0.2">
      <c r="A413" s="171"/>
      <c r="B413" s="171"/>
      <c r="C413" s="1546"/>
    </row>
    <row r="414" spans="1:3" ht="13.9" customHeight="1" x14ac:dyDescent="0.2">
      <c r="A414" s="171"/>
      <c r="B414" s="171"/>
      <c r="C414" s="1546"/>
    </row>
    <row r="415" spans="1:3" ht="13.9" customHeight="1" x14ac:dyDescent="0.2">
      <c r="A415" s="171"/>
      <c r="B415" s="171"/>
      <c r="C415" s="1546"/>
    </row>
    <row r="416" spans="1:3" ht="13.9" customHeight="1" x14ac:dyDescent="0.2">
      <c r="A416" s="171"/>
      <c r="B416" s="171"/>
      <c r="C416" s="1546"/>
    </row>
    <row r="417" spans="1:3" ht="13.9" customHeight="1" x14ac:dyDescent="0.2">
      <c r="A417" s="171"/>
      <c r="B417" s="171"/>
      <c r="C417" s="1546"/>
    </row>
    <row r="418" spans="1:3" ht="13.9" customHeight="1" x14ac:dyDescent="0.2">
      <c r="A418" s="171"/>
      <c r="B418" s="171"/>
      <c r="C418" s="1546"/>
    </row>
    <row r="419" spans="1:3" ht="13.9" customHeight="1" x14ac:dyDescent="0.2">
      <c r="A419" s="171"/>
      <c r="B419" s="171"/>
      <c r="C419" s="1546"/>
    </row>
    <row r="420" spans="1:3" ht="13.9" customHeight="1" x14ac:dyDescent="0.2">
      <c r="A420" s="171"/>
      <c r="B420" s="171"/>
      <c r="C420" s="1546"/>
    </row>
    <row r="421" spans="1:3" ht="13.9" customHeight="1" x14ac:dyDescent="0.2">
      <c r="A421" s="171"/>
      <c r="B421" s="171"/>
      <c r="C421" s="1546"/>
    </row>
    <row r="422" spans="1:3" ht="13.9" customHeight="1" x14ac:dyDescent="0.2">
      <c r="A422" s="171"/>
      <c r="B422" s="171"/>
      <c r="C422" s="1546"/>
    </row>
    <row r="423" spans="1:3" ht="13.9" customHeight="1" x14ac:dyDescent="0.2">
      <c r="A423" s="171"/>
      <c r="B423" s="171"/>
      <c r="C423" s="1546"/>
    </row>
    <row r="424" spans="1:3" ht="13.9" customHeight="1" x14ac:dyDescent="0.2">
      <c r="A424" s="171"/>
      <c r="B424" s="171"/>
      <c r="C424" s="1546"/>
    </row>
    <row r="425" spans="1:3" ht="13.9" customHeight="1" x14ac:dyDescent="0.2">
      <c r="A425" s="171"/>
      <c r="B425" s="171"/>
      <c r="C425" s="1546"/>
    </row>
    <row r="426" spans="1:3" ht="13.9" customHeight="1" x14ac:dyDescent="0.2">
      <c r="A426" s="171"/>
      <c r="B426" s="171"/>
      <c r="C426" s="1546"/>
    </row>
    <row r="427" spans="1:3" ht="13.9" customHeight="1" x14ac:dyDescent="0.2">
      <c r="A427" s="171"/>
      <c r="B427" s="171"/>
      <c r="C427" s="1546"/>
    </row>
    <row r="428" spans="1:3" ht="13.9" customHeight="1" x14ac:dyDescent="0.2">
      <c r="A428" s="171"/>
      <c r="B428" s="171"/>
      <c r="C428" s="1546"/>
    </row>
    <row r="429" spans="1:3" ht="13.9" customHeight="1" x14ac:dyDescent="0.2">
      <c r="A429" s="171"/>
      <c r="B429" s="171"/>
      <c r="C429" s="1546"/>
    </row>
    <row r="430" spans="1:3" ht="13.9" customHeight="1" x14ac:dyDescent="0.2">
      <c r="A430" s="171"/>
      <c r="B430" s="171"/>
      <c r="C430" s="1546"/>
    </row>
    <row r="431" spans="1:3" ht="13.9" customHeight="1" x14ac:dyDescent="0.2">
      <c r="A431" s="171"/>
      <c r="B431" s="171"/>
      <c r="C431" s="1546"/>
    </row>
    <row r="432" spans="1:3" ht="13.9" customHeight="1" x14ac:dyDescent="0.2">
      <c r="A432" s="171"/>
      <c r="B432" s="171"/>
      <c r="C432" s="1546"/>
    </row>
    <row r="433" spans="1:3" ht="13.9" customHeight="1" x14ac:dyDescent="0.2">
      <c r="A433" s="171"/>
      <c r="B433" s="171"/>
      <c r="C433" s="1546"/>
    </row>
    <row r="434" spans="1:3" ht="13.9" customHeight="1" x14ac:dyDescent="0.2">
      <c r="A434" s="171"/>
      <c r="B434" s="171"/>
      <c r="C434" s="1546"/>
    </row>
    <row r="435" spans="1:3" ht="13.9" customHeight="1" x14ac:dyDescent="0.2">
      <c r="A435" s="171"/>
      <c r="B435" s="171"/>
      <c r="C435" s="1546"/>
    </row>
    <row r="436" spans="1:3" ht="13.9" customHeight="1" x14ac:dyDescent="0.2">
      <c r="A436" s="171"/>
      <c r="B436" s="171"/>
      <c r="C436" s="1546"/>
    </row>
    <row r="437" spans="1:3" ht="13.9" customHeight="1" x14ac:dyDescent="0.2">
      <c r="A437" s="171"/>
      <c r="B437" s="171"/>
      <c r="C437" s="1546"/>
    </row>
    <row r="438" spans="1:3" ht="13.9" customHeight="1" x14ac:dyDescent="0.2">
      <c r="A438" s="171"/>
      <c r="B438" s="171"/>
      <c r="C438" s="1546"/>
    </row>
    <row r="439" spans="1:3" ht="13.9" customHeight="1" x14ac:dyDescent="0.2">
      <c r="A439" s="171"/>
      <c r="B439" s="171"/>
      <c r="C439" s="1546"/>
    </row>
    <row r="440" spans="1:3" ht="13.9" customHeight="1" x14ac:dyDescent="0.2">
      <c r="A440" s="171"/>
      <c r="B440" s="171"/>
      <c r="C440" s="1546"/>
    </row>
    <row r="441" spans="1:3" ht="13.9" customHeight="1" x14ac:dyDescent="0.2">
      <c r="A441" s="171"/>
      <c r="B441" s="171"/>
      <c r="C441" s="1546"/>
    </row>
    <row r="442" spans="1:3" ht="13.9" customHeight="1" x14ac:dyDescent="0.2">
      <c r="A442" s="171"/>
      <c r="B442" s="171"/>
      <c r="C442" s="1546"/>
    </row>
    <row r="443" spans="1:3" ht="13.9" customHeight="1" x14ac:dyDescent="0.2">
      <c r="A443" s="171"/>
      <c r="B443" s="171"/>
      <c r="C443" s="1546"/>
    </row>
    <row r="444" spans="1:3" ht="13.9" customHeight="1" x14ac:dyDescent="0.2">
      <c r="A444" s="171"/>
      <c r="B444" s="171"/>
      <c r="C444" s="1546"/>
    </row>
    <row r="445" spans="1:3" ht="13.9" customHeight="1" x14ac:dyDescent="0.2">
      <c r="A445" s="171"/>
      <c r="B445" s="171"/>
      <c r="C445" s="1546"/>
    </row>
    <row r="446" spans="1:3" ht="13.9" customHeight="1" x14ac:dyDescent="0.2">
      <c r="A446" s="171"/>
      <c r="B446" s="171"/>
      <c r="C446" s="1546"/>
    </row>
    <row r="447" spans="1:3" ht="13.9" customHeight="1" x14ac:dyDescent="0.2">
      <c r="A447" s="171"/>
      <c r="B447" s="171"/>
      <c r="C447" s="1546"/>
    </row>
    <row r="448" spans="1:3" ht="13.9" customHeight="1" x14ac:dyDescent="0.2">
      <c r="A448" s="171"/>
      <c r="B448" s="171"/>
      <c r="C448" s="1546"/>
    </row>
    <row r="449" spans="1:3" ht="13.9" customHeight="1" x14ac:dyDescent="0.2">
      <c r="A449" s="171"/>
      <c r="B449" s="171"/>
      <c r="C449" s="1546"/>
    </row>
    <row r="450" spans="1:3" ht="13.9" customHeight="1" x14ac:dyDescent="0.2">
      <c r="A450" s="171"/>
      <c r="B450" s="171"/>
      <c r="C450" s="1546"/>
    </row>
    <row r="451" spans="1:3" ht="13.9" customHeight="1" x14ac:dyDescent="0.2">
      <c r="A451" s="171"/>
      <c r="B451" s="171"/>
      <c r="C451" s="1546"/>
    </row>
    <row r="452" spans="1:3" ht="13.9" customHeight="1" x14ac:dyDescent="0.2">
      <c r="A452" s="171"/>
      <c r="B452" s="171"/>
      <c r="C452" s="1546"/>
    </row>
    <row r="453" spans="1:3" ht="13.9" customHeight="1" x14ac:dyDescent="0.2">
      <c r="A453" s="171"/>
      <c r="B453" s="171"/>
      <c r="C453" s="1546"/>
    </row>
    <row r="454" spans="1:3" ht="13.9" customHeight="1" x14ac:dyDescent="0.2">
      <c r="A454" s="171"/>
      <c r="B454" s="171"/>
      <c r="C454" s="1546"/>
    </row>
    <row r="455" spans="1:3" ht="13.9" customHeight="1" x14ac:dyDescent="0.2">
      <c r="A455" s="171"/>
      <c r="B455" s="171"/>
      <c r="C455" s="1546"/>
    </row>
    <row r="456" spans="1:3" ht="13.9" customHeight="1" x14ac:dyDescent="0.2">
      <c r="A456" s="171"/>
      <c r="B456" s="171"/>
      <c r="C456" s="1546"/>
    </row>
    <row r="457" spans="1:3" ht="13.9" customHeight="1" x14ac:dyDescent="0.2">
      <c r="A457" s="171"/>
      <c r="B457" s="171"/>
      <c r="C457" s="1546"/>
    </row>
    <row r="458" spans="1:3" ht="13.9" customHeight="1" x14ac:dyDescent="0.2">
      <c r="A458" s="171"/>
      <c r="B458" s="171"/>
      <c r="C458" s="1546"/>
    </row>
    <row r="459" spans="1:3" ht="13.9" customHeight="1" x14ac:dyDescent="0.2">
      <c r="A459" s="171"/>
      <c r="B459" s="171"/>
      <c r="C459" s="1546"/>
    </row>
    <row r="460" spans="1:3" ht="13.9" customHeight="1" x14ac:dyDescent="0.2">
      <c r="A460" s="171"/>
      <c r="B460" s="171"/>
      <c r="C460" s="1546"/>
    </row>
    <row r="461" spans="1:3" ht="13.9" customHeight="1" x14ac:dyDescent="0.2">
      <c r="A461" s="171"/>
      <c r="B461" s="171"/>
      <c r="C461" s="1546"/>
    </row>
    <row r="462" spans="1:3" ht="13.9" customHeight="1" x14ac:dyDescent="0.2">
      <c r="A462" s="171"/>
      <c r="B462" s="171"/>
      <c r="C462" s="1546"/>
    </row>
    <row r="463" spans="1:3" ht="13.9" customHeight="1" x14ac:dyDescent="0.2">
      <c r="A463" s="171"/>
      <c r="B463" s="171"/>
      <c r="C463" s="1546"/>
    </row>
    <row r="464" spans="1:3" ht="13.9" customHeight="1" x14ac:dyDescent="0.2">
      <c r="A464" s="171"/>
      <c r="B464" s="171"/>
      <c r="C464" s="1546"/>
    </row>
    <row r="465" spans="1:3" ht="13.9" customHeight="1" x14ac:dyDescent="0.2">
      <c r="A465" s="171"/>
      <c r="B465" s="171"/>
      <c r="C465" s="1546"/>
    </row>
    <row r="466" spans="1:3" ht="13.9" customHeight="1" x14ac:dyDescent="0.2">
      <c r="A466" s="171"/>
      <c r="B466" s="171"/>
      <c r="C466" s="1546"/>
    </row>
    <row r="467" spans="1:3" ht="13.9" customHeight="1" x14ac:dyDescent="0.2">
      <c r="A467" s="171"/>
      <c r="B467" s="171"/>
      <c r="C467" s="1546"/>
    </row>
    <row r="468" spans="1:3" ht="13.9" customHeight="1" x14ac:dyDescent="0.2">
      <c r="A468" s="171"/>
      <c r="B468" s="171"/>
      <c r="C468" s="1546"/>
    </row>
    <row r="469" spans="1:3" ht="13.9" customHeight="1" x14ac:dyDescent="0.2">
      <c r="A469" s="171"/>
      <c r="B469" s="171"/>
      <c r="C469" s="1546"/>
    </row>
    <row r="470" spans="1:3" ht="13.9" customHeight="1" x14ac:dyDescent="0.2">
      <c r="A470" s="171"/>
      <c r="B470" s="171"/>
      <c r="C470" s="1546"/>
    </row>
    <row r="471" spans="1:3" ht="13.9" customHeight="1" x14ac:dyDescent="0.2">
      <c r="A471" s="171"/>
      <c r="B471" s="171"/>
      <c r="C471" s="1546"/>
    </row>
    <row r="472" spans="1:3" ht="13.9" customHeight="1" x14ac:dyDescent="0.2">
      <c r="A472" s="171"/>
      <c r="B472" s="171"/>
      <c r="C472" s="1546"/>
    </row>
    <row r="473" spans="1:3" ht="13.9" customHeight="1" x14ac:dyDescent="0.2">
      <c r="A473" s="171"/>
      <c r="B473" s="171"/>
      <c r="C473" s="1546"/>
    </row>
    <row r="474" spans="1:3" ht="13.9" customHeight="1" x14ac:dyDescent="0.2">
      <c r="A474" s="171"/>
      <c r="B474" s="171"/>
      <c r="C474" s="1546"/>
    </row>
    <row r="475" spans="1:3" ht="13.9" customHeight="1" x14ac:dyDescent="0.2">
      <c r="A475" s="171"/>
      <c r="B475" s="171"/>
      <c r="C475" s="1546"/>
    </row>
    <row r="476" spans="1:3" ht="13.9" customHeight="1" x14ac:dyDescent="0.2">
      <c r="A476" s="171"/>
      <c r="B476" s="171"/>
      <c r="C476" s="1546"/>
    </row>
    <row r="477" spans="1:3" ht="13.9" customHeight="1" x14ac:dyDescent="0.2">
      <c r="A477" s="171"/>
      <c r="B477" s="171"/>
      <c r="C477" s="1546"/>
    </row>
    <row r="478" spans="1:3" ht="13.9" customHeight="1" x14ac:dyDescent="0.2">
      <c r="A478" s="171"/>
      <c r="B478" s="171"/>
      <c r="C478" s="1546"/>
    </row>
    <row r="479" spans="1:3" ht="13.9" customHeight="1" x14ac:dyDescent="0.2">
      <c r="A479" s="171"/>
      <c r="B479" s="171"/>
      <c r="C479" s="1546"/>
    </row>
    <row r="480" spans="1:3" ht="13.9" customHeight="1" x14ac:dyDescent="0.2">
      <c r="A480" s="171"/>
      <c r="B480" s="171"/>
      <c r="C480" s="1546"/>
    </row>
    <row r="481" spans="1:3" ht="13.9" customHeight="1" x14ac:dyDescent="0.2">
      <c r="A481" s="171"/>
      <c r="B481" s="171"/>
      <c r="C481" s="1546"/>
    </row>
    <row r="482" spans="1:3" ht="13.9" customHeight="1" x14ac:dyDescent="0.2">
      <c r="A482" s="171"/>
      <c r="B482" s="171"/>
      <c r="C482" s="1546"/>
    </row>
    <row r="483" spans="1:3" ht="13.9" customHeight="1" x14ac:dyDescent="0.2">
      <c r="A483" s="171"/>
      <c r="B483" s="171"/>
      <c r="C483" s="1546"/>
    </row>
    <row r="484" spans="1:3" ht="13.9" customHeight="1" x14ac:dyDescent="0.2">
      <c r="A484" s="171"/>
      <c r="B484" s="171"/>
      <c r="C484" s="1546"/>
    </row>
    <row r="485" spans="1:3" ht="13.9" customHeight="1" x14ac:dyDescent="0.2">
      <c r="A485" s="171"/>
      <c r="B485" s="171"/>
      <c r="C485" s="1546"/>
    </row>
    <row r="486" spans="1:3" ht="13.9" customHeight="1" x14ac:dyDescent="0.2">
      <c r="A486" s="171"/>
      <c r="B486" s="171"/>
      <c r="C486" s="1546"/>
    </row>
    <row r="487" spans="1:3" ht="13.9" customHeight="1" x14ac:dyDescent="0.2">
      <c r="A487" s="171"/>
      <c r="B487" s="171"/>
      <c r="C487" s="1546"/>
    </row>
    <row r="488" spans="1:3" ht="13.9" customHeight="1" x14ac:dyDescent="0.2">
      <c r="A488" s="171"/>
      <c r="B488" s="171"/>
      <c r="C488" s="1546"/>
    </row>
    <row r="489" spans="1:3" ht="13.9" customHeight="1" x14ac:dyDescent="0.2">
      <c r="A489" s="171"/>
      <c r="B489" s="171"/>
      <c r="C489" s="1546"/>
    </row>
    <row r="490" spans="1:3" ht="13.9" customHeight="1" x14ac:dyDescent="0.2">
      <c r="A490" s="171"/>
      <c r="B490" s="171"/>
      <c r="C490" s="1546"/>
    </row>
    <row r="491" spans="1:3" ht="13.9" customHeight="1" x14ac:dyDescent="0.2">
      <c r="A491" s="171"/>
      <c r="B491" s="171"/>
      <c r="C491" s="1546"/>
    </row>
    <row r="492" spans="1:3" ht="13.9" customHeight="1" x14ac:dyDescent="0.2">
      <c r="A492" s="171"/>
      <c r="B492" s="171"/>
      <c r="C492" s="1546"/>
    </row>
    <row r="493" spans="1:3" ht="13.9" customHeight="1" x14ac:dyDescent="0.2">
      <c r="A493" s="171"/>
      <c r="B493" s="171"/>
      <c r="C493" s="1546"/>
    </row>
    <row r="494" spans="1:3" ht="13.9" customHeight="1" x14ac:dyDescent="0.2">
      <c r="A494" s="171"/>
      <c r="B494" s="171"/>
      <c r="C494" s="1546"/>
    </row>
    <row r="495" spans="1:3" ht="13.9" customHeight="1" x14ac:dyDescent="0.2">
      <c r="A495" s="171"/>
      <c r="B495" s="171"/>
      <c r="C495" s="1546"/>
    </row>
    <row r="496" spans="1:3" ht="13.9" customHeight="1" x14ac:dyDescent="0.2">
      <c r="A496" s="171"/>
      <c r="B496" s="171"/>
      <c r="C496" s="1546"/>
    </row>
    <row r="497" spans="1:3" ht="13.9" customHeight="1" x14ac:dyDescent="0.2">
      <c r="A497" s="171"/>
      <c r="B497" s="171"/>
      <c r="C497" s="1546"/>
    </row>
    <row r="498" spans="1:3" ht="13.9" customHeight="1" x14ac:dyDescent="0.2">
      <c r="A498" s="171"/>
      <c r="B498" s="171"/>
      <c r="C498" s="1546"/>
    </row>
    <row r="499" spans="1:3" ht="13.9" customHeight="1" x14ac:dyDescent="0.2">
      <c r="A499" s="171"/>
      <c r="B499" s="171"/>
      <c r="C499" s="1546"/>
    </row>
    <row r="500" spans="1:3" ht="13.9" customHeight="1" x14ac:dyDescent="0.2">
      <c r="A500" s="171"/>
      <c r="B500" s="171"/>
      <c r="C500" s="1546"/>
    </row>
    <row r="501" spans="1:3" ht="13.9" customHeight="1" x14ac:dyDescent="0.2">
      <c r="A501" s="171"/>
      <c r="B501" s="171"/>
      <c r="C501" s="1546"/>
    </row>
    <row r="502" spans="1:3" ht="13.9" customHeight="1" x14ac:dyDescent="0.2">
      <c r="A502" s="171"/>
      <c r="B502" s="171"/>
      <c r="C502" s="1546"/>
    </row>
    <row r="503" spans="1:3" ht="13.9" customHeight="1" x14ac:dyDescent="0.2">
      <c r="A503" s="171"/>
      <c r="B503" s="171"/>
      <c r="C503" s="1546"/>
    </row>
    <row r="504" spans="1:3" ht="13.9" customHeight="1" x14ac:dyDescent="0.2">
      <c r="A504" s="171"/>
      <c r="B504" s="171"/>
      <c r="C504" s="1546"/>
    </row>
    <row r="505" spans="1:3" ht="13.9" customHeight="1" x14ac:dyDescent="0.2">
      <c r="A505" s="171"/>
      <c r="B505" s="171"/>
      <c r="C505" s="1546"/>
    </row>
    <row r="506" spans="1:3" ht="13.9" customHeight="1" x14ac:dyDescent="0.2">
      <c r="A506" s="171"/>
      <c r="B506" s="171"/>
      <c r="C506" s="1546"/>
    </row>
    <row r="507" spans="1:3" ht="13.9" customHeight="1" x14ac:dyDescent="0.2">
      <c r="A507" s="171"/>
      <c r="B507" s="171"/>
      <c r="C507" s="1546"/>
    </row>
    <row r="508" spans="1:3" ht="13.9" customHeight="1" x14ac:dyDescent="0.2">
      <c r="A508" s="171"/>
      <c r="B508" s="171"/>
      <c r="C508" s="1546"/>
    </row>
    <row r="509" spans="1:3" ht="13.9" customHeight="1" x14ac:dyDescent="0.2">
      <c r="A509" s="171"/>
      <c r="B509" s="171"/>
      <c r="C509" s="1546"/>
    </row>
    <row r="510" spans="1:3" ht="13.9" customHeight="1" x14ac:dyDescent="0.2">
      <c r="A510" s="171"/>
      <c r="B510" s="171"/>
      <c r="C510" s="1546"/>
    </row>
    <row r="511" spans="1:3" ht="13.9" customHeight="1" x14ac:dyDescent="0.2">
      <c r="A511" s="171"/>
      <c r="B511" s="171"/>
      <c r="C511" s="1546"/>
    </row>
    <row r="512" spans="1:3" ht="13.9" customHeight="1" x14ac:dyDescent="0.2">
      <c r="A512" s="171"/>
      <c r="B512" s="171"/>
      <c r="C512" s="1546"/>
    </row>
    <row r="513" spans="1:3" ht="13.9" customHeight="1" x14ac:dyDescent="0.2">
      <c r="A513" s="171"/>
      <c r="B513" s="171"/>
      <c r="C513" s="1546"/>
    </row>
    <row r="514" spans="1:3" ht="13.9" customHeight="1" x14ac:dyDescent="0.2">
      <c r="A514" s="171"/>
      <c r="B514" s="171"/>
      <c r="C514" s="1546"/>
    </row>
    <row r="515" spans="1:3" ht="13.9" customHeight="1" x14ac:dyDescent="0.2">
      <c r="A515" s="171"/>
      <c r="B515" s="171"/>
      <c r="C515" s="1546"/>
    </row>
    <row r="516" spans="1:3" ht="13.9" customHeight="1" x14ac:dyDescent="0.2">
      <c r="A516" s="171"/>
      <c r="B516" s="171"/>
      <c r="C516" s="1546"/>
    </row>
    <row r="517" spans="1:3" ht="13.9" customHeight="1" x14ac:dyDescent="0.2">
      <c r="A517" s="171"/>
      <c r="B517" s="171"/>
      <c r="C517" s="1546"/>
    </row>
    <row r="518" spans="1:3" ht="13.9" customHeight="1" x14ac:dyDescent="0.2">
      <c r="A518" s="171"/>
      <c r="B518" s="171"/>
      <c r="C518" s="1546"/>
    </row>
    <row r="519" spans="1:3" ht="13.9" customHeight="1" x14ac:dyDescent="0.2">
      <c r="A519" s="171"/>
      <c r="B519" s="171"/>
      <c r="C519" s="1546"/>
    </row>
    <row r="520" spans="1:3" ht="13.9" customHeight="1" x14ac:dyDescent="0.2">
      <c r="A520" s="171"/>
      <c r="B520" s="171"/>
      <c r="C520" s="1546"/>
    </row>
    <row r="521" spans="1:3" ht="13.9" customHeight="1" x14ac:dyDescent="0.2">
      <c r="A521" s="171"/>
      <c r="B521" s="171"/>
      <c r="C521" s="1546"/>
    </row>
    <row r="522" spans="1:3" ht="13.9" customHeight="1" x14ac:dyDescent="0.2">
      <c r="A522" s="171"/>
      <c r="B522" s="171"/>
      <c r="C522" s="1546"/>
    </row>
    <row r="523" spans="1:3" ht="13.9" customHeight="1" x14ac:dyDescent="0.2">
      <c r="A523" s="171"/>
      <c r="B523" s="171"/>
      <c r="C523" s="1546"/>
    </row>
    <row r="524" spans="1:3" ht="13.9" customHeight="1" x14ac:dyDescent="0.2">
      <c r="A524" s="171"/>
      <c r="B524" s="171"/>
      <c r="C524" s="1546"/>
    </row>
    <row r="525" spans="1:3" ht="13.9" customHeight="1" x14ac:dyDescent="0.2">
      <c r="A525" s="171"/>
      <c r="B525" s="171"/>
      <c r="C525" s="1546"/>
    </row>
    <row r="526" spans="1:3" ht="13.9" customHeight="1" x14ac:dyDescent="0.2">
      <c r="A526" s="171"/>
      <c r="B526" s="171"/>
      <c r="C526" s="1546"/>
    </row>
    <row r="527" spans="1:3" ht="13.9" customHeight="1" x14ac:dyDescent="0.2">
      <c r="A527" s="171"/>
      <c r="B527" s="171"/>
      <c r="C527" s="1546"/>
    </row>
    <row r="528" spans="1:3" ht="13.9" customHeight="1" x14ac:dyDescent="0.2">
      <c r="A528" s="171"/>
      <c r="B528" s="171"/>
      <c r="C528" s="1546"/>
    </row>
    <row r="529" spans="1:3" ht="13.9" customHeight="1" x14ac:dyDescent="0.2">
      <c r="A529" s="171"/>
      <c r="B529" s="171"/>
      <c r="C529" s="1546"/>
    </row>
    <row r="530" spans="1:3" ht="13.9" customHeight="1" x14ac:dyDescent="0.2">
      <c r="A530" s="171"/>
      <c r="B530" s="171"/>
      <c r="C530" s="1546"/>
    </row>
    <row r="531" spans="1:3" ht="13.9" customHeight="1" x14ac:dyDescent="0.2">
      <c r="A531" s="171"/>
      <c r="B531" s="171"/>
      <c r="C531" s="1546"/>
    </row>
    <row r="532" spans="1:3" ht="13.9" customHeight="1" x14ac:dyDescent="0.2">
      <c r="A532" s="171"/>
      <c r="B532" s="171"/>
      <c r="C532" s="1546"/>
    </row>
    <row r="533" spans="1:3" ht="13.9" customHeight="1" x14ac:dyDescent="0.2">
      <c r="A533" s="171"/>
      <c r="B533" s="171"/>
      <c r="C533" s="1546"/>
    </row>
    <row r="534" spans="1:3" ht="13.9" customHeight="1" x14ac:dyDescent="0.2">
      <c r="A534" s="171"/>
      <c r="B534" s="171"/>
      <c r="C534" s="1546"/>
    </row>
    <row r="535" spans="1:3" ht="13.9" customHeight="1" x14ac:dyDescent="0.2">
      <c r="A535" s="171"/>
      <c r="B535" s="171"/>
      <c r="C535" s="1546"/>
    </row>
    <row r="536" spans="1:3" ht="13.9" customHeight="1" x14ac:dyDescent="0.2">
      <c r="A536" s="171"/>
      <c r="B536" s="171"/>
      <c r="C536" s="1546"/>
    </row>
    <row r="537" spans="1:3" ht="13.9" customHeight="1" x14ac:dyDescent="0.2">
      <c r="A537" s="171"/>
      <c r="B537" s="171"/>
      <c r="C537" s="1546"/>
    </row>
    <row r="538" spans="1:3" ht="13.9" customHeight="1" x14ac:dyDescent="0.2">
      <c r="A538" s="171"/>
      <c r="B538" s="171"/>
      <c r="C538" s="1546"/>
    </row>
    <row r="539" spans="1:3" ht="13.9" customHeight="1" x14ac:dyDescent="0.2">
      <c r="A539" s="171"/>
      <c r="B539" s="171"/>
      <c r="C539" s="1546"/>
    </row>
    <row r="540" spans="1:3" ht="13.9" customHeight="1" x14ac:dyDescent="0.2">
      <c r="A540" s="171"/>
      <c r="B540" s="171"/>
      <c r="C540" s="1546"/>
    </row>
    <row r="541" spans="1:3" ht="13.9" customHeight="1" x14ac:dyDescent="0.2">
      <c r="A541" s="171"/>
      <c r="B541" s="171"/>
      <c r="C541" s="1546"/>
    </row>
    <row r="542" spans="1:3" ht="13.9" customHeight="1" x14ac:dyDescent="0.2">
      <c r="A542" s="171"/>
      <c r="B542" s="171"/>
      <c r="C542" s="1546"/>
    </row>
    <row r="543" spans="1:3" ht="13.9" customHeight="1" x14ac:dyDescent="0.2">
      <c r="A543" s="171"/>
      <c r="B543" s="171"/>
      <c r="C543" s="1546"/>
    </row>
    <row r="544" spans="1:3" ht="13.9" customHeight="1" x14ac:dyDescent="0.2">
      <c r="A544" s="171"/>
      <c r="B544" s="171"/>
      <c r="C544" s="1546"/>
    </row>
    <row r="545" spans="1:3" ht="13.9" customHeight="1" x14ac:dyDescent="0.2">
      <c r="A545" s="171"/>
      <c r="B545" s="171"/>
      <c r="C545" s="1546"/>
    </row>
    <row r="546" spans="1:3" ht="13.9" customHeight="1" x14ac:dyDescent="0.2">
      <c r="A546" s="171"/>
      <c r="B546" s="171"/>
      <c r="C546" s="1546"/>
    </row>
    <row r="547" spans="1:3" ht="13.9" customHeight="1" x14ac:dyDescent="0.2">
      <c r="A547" s="171"/>
      <c r="B547" s="171"/>
      <c r="C547" s="1546"/>
    </row>
    <row r="548" spans="1:3" ht="13.9" customHeight="1" x14ac:dyDescent="0.2">
      <c r="A548" s="171"/>
      <c r="B548" s="171"/>
      <c r="C548" s="1546"/>
    </row>
    <row r="549" spans="1:3" ht="13.9" customHeight="1" x14ac:dyDescent="0.2">
      <c r="A549" s="171"/>
      <c r="B549" s="171"/>
      <c r="C549" s="1546"/>
    </row>
    <row r="550" spans="1:3" ht="13.9" customHeight="1" x14ac:dyDescent="0.2">
      <c r="A550" s="171"/>
      <c r="B550" s="171"/>
      <c r="C550" s="1546"/>
    </row>
    <row r="551" spans="1:3" ht="13.9" customHeight="1" x14ac:dyDescent="0.2">
      <c r="A551" s="171"/>
      <c r="B551" s="171"/>
    </row>
    <row r="552" spans="1:3" ht="13.9" customHeight="1" x14ac:dyDescent="0.2">
      <c r="A552" s="171"/>
      <c r="B552" s="171"/>
    </row>
    <row r="553" spans="1:3" ht="13.9" customHeight="1" x14ac:dyDescent="0.2">
      <c r="A553" s="171"/>
      <c r="B553" s="171"/>
    </row>
    <row r="554" spans="1:3" ht="13.9" customHeight="1" x14ac:dyDescent="0.2">
      <c r="A554" s="171"/>
      <c r="B554" s="171"/>
    </row>
    <row r="555" spans="1:3" ht="13.9" customHeight="1" x14ac:dyDescent="0.2">
      <c r="A555" s="171"/>
      <c r="B555" s="171"/>
    </row>
    <row r="556" spans="1:3" ht="13.9" customHeight="1" x14ac:dyDescent="0.2">
      <c r="A556" s="171"/>
      <c r="B556" s="171"/>
    </row>
    <row r="557" spans="1:3" ht="13.9" customHeight="1" x14ac:dyDescent="0.2">
      <c r="A557" s="171"/>
      <c r="B557" s="171"/>
    </row>
    <row r="558" spans="1:3" ht="13.9" customHeight="1" x14ac:dyDescent="0.2">
      <c r="A558" s="171"/>
      <c r="B558" s="171"/>
    </row>
    <row r="559" spans="1:3" ht="13.9" customHeight="1" x14ac:dyDescent="0.2">
      <c r="A559" s="171"/>
      <c r="B559" s="171"/>
    </row>
    <row r="560" spans="1:3" ht="13.9" customHeight="1" x14ac:dyDescent="0.2">
      <c r="A560" s="171"/>
      <c r="B560" s="171"/>
    </row>
    <row r="561" spans="1:2" ht="13.9" customHeight="1" x14ac:dyDescent="0.2">
      <c r="A561" s="171"/>
      <c r="B561" s="171"/>
    </row>
    <row r="562" spans="1:2" ht="13.9" customHeight="1" x14ac:dyDescent="0.2">
      <c r="A562" s="171"/>
      <c r="B562" s="171"/>
    </row>
    <row r="563" spans="1:2" ht="13.9" customHeight="1" x14ac:dyDescent="0.2">
      <c r="A563" s="171"/>
      <c r="B563" s="171"/>
    </row>
    <row r="564" spans="1:2" ht="13.9" customHeight="1" x14ac:dyDescent="0.2">
      <c r="A564" s="171"/>
      <c r="B564" s="171"/>
    </row>
    <row r="565" spans="1:2" ht="13.9" customHeight="1" x14ac:dyDescent="0.2">
      <c r="A565" s="171"/>
      <c r="B565" s="171"/>
    </row>
    <row r="566" spans="1:2" ht="13.9" customHeight="1" x14ac:dyDescent="0.2">
      <c r="A566" s="171"/>
      <c r="B566" s="171"/>
    </row>
    <row r="567" spans="1:2" ht="13.9" customHeight="1" x14ac:dyDescent="0.2">
      <c r="A567" s="171"/>
      <c r="B567" s="171"/>
    </row>
    <row r="568" spans="1:2" ht="13.9" customHeight="1" x14ac:dyDescent="0.2">
      <c r="A568" s="171"/>
      <c r="B568" s="171"/>
    </row>
    <row r="569" spans="1:2" ht="13.9" customHeight="1" x14ac:dyDescent="0.2">
      <c r="A569" s="171"/>
      <c r="B569" s="171"/>
    </row>
    <row r="570" spans="1:2" ht="13.9" customHeight="1" x14ac:dyDescent="0.2">
      <c r="A570" s="171"/>
      <c r="B570" s="171"/>
    </row>
    <row r="571" spans="1:2" ht="13.9" customHeight="1" x14ac:dyDescent="0.2">
      <c r="A571" s="171"/>
      <c r="B571" s="171"/>
    </row>
    <row r="572" spans="1:2" ht="13.9" customHeight="1" x14ac:dyDescent="0.2">
      <c r="A572" s="171"/>
      <c r="B572" s="171"/>
    </row>
    <row r="573" spans="1:2" ht="13.9" customHeight="1" x14ac:dyDescent="0.2">
      <c r="A573" s="171"/>
      <c r="B573" s="171"/>
    </row>
    <row r="574" spans="1:2" ht="13.9" customHeight="1" x14ac:dyDescent="0.2">
      <c r="A574" s="171"/>
      <c r="B574" s="171"/>
    </row>
    <row r="575" spans="1:2" ht="13.9" customHeight="1" x14ac:dyDescent="0.2">
      <c r="A575" s="171"/>
      <c r="B575" s="171"/>
    </row>
    <row r="576" spans="1:2" ht="13.9" customHeight="1" x14ac:dyDescent="0.2">
      <c r="A576" s="171"/>
      <c r="B576" s="171"/>
    </row>
    <row r="577" spans="1:2" ht="13.9" customHeight="1" x14ac:dyDescent="0.2">
      <c r="A577" s="171"/>
      <c r="B577" s="171"/>
    </row>
    <row r="578" spans="1:2" ht="13.9" customHeight="1" x14ac:dyDescent="0.2">
      <c r="A578" s="171"/>
      <c r="B578" s="171"/>
    </row>
    <row r="579" spans="1:2" ht="13.9" customHeight="1" x14ac:dyDescent="0.2">
      <c r="A579" s="171"/>
      <c r="B579" s="171"/>
    </row>
    <row r="580" spans="1:2" ht="13.9" customHeight="1" x14ac:dyDescent="0.2">
      <c r="A580" s="171"/>
      <c r="B580" s="171"/>
    </row>
    <row r="581" spans="1:2" ht="13.9" customHeight="1" x14ac:dyDescent="0.2">
      <c r="A581" s="171"/>
      <c r="B581" s="171"/>
    </row>
    <row r="582" spans="1:2" ht="13.9" customHeight="1" x14ac:dyDescent="0.2">
      <c r="A582" s="171"/>
      <c r="B582" s="171"/>
    </row>
    <row r="583" spans="1:2" ht="13.9" customHeight="1" x14ac:dyDescent="0.2">
      <c r="A583" s="171"/>
      <c r="B583" s="171"/>
    </row>
    <row r="584" spans="1:2" ht="13.9" customHeight="1" x14ac:dyDescent="0.2">
      <c r="A584" s="171"/>
      <c r="B584" s="171"/>
    </row>
    <row r="585" spans="1:2" ht="13.9" customHeight="1" x14ac:dyDescent="0.2">
      <c r="A585" s="171"/>
      <c r="B585" s="171"/>
    </row>
    <row r="586" spans="1:2" ht="13.9" customHeight="1" x14ac:dyDescent="0.2">
      <c r="A586" s="171"/>
      <c r="B586" s="171"/>
    </row>
    <row r="587" spans="1:2" ht="13.9" customHeight="1" x14ac:dyDescent="0.2">
      <c r="A587" s="171"/>
      <c r="B587" s="171"/>
    </row>
    <row r="588" spans="1:2" ht="13.9" customHeight="1" x14ac:dyDescent="0.2">
      <c r="A588" s="171"/>
      <c r="B588" s="171"/>
    </row>
    <row r="589" spans="1:2" ht="13.9" customHeight="1" x14ac:dyDescent="0.2">
      <c r="A589" s="171"/>
      <c r="B589" s="171"/>
    </row>
    <row r="590" spans="1:2" ht="13.9" customHeight="1" x14ac:dyDescent="0.2">
      <c r="A590" s="171"/>
      <c r="B590" s="171"/>
    </row>
    <row r="591" spans="1:2" ht="13.9" customHeight="1" x14ac:dyDescent="0.2">
      <c r="A591" s="171"/>
      <c r="B591" s="171"/>
    </row>
    <row r="592" spans="1:2" ht="13.9" customHeight="1" x14ac:dyDescent="0.2">
      <c r="A592" s="171"/>
      <c r="B592" s="171"/>
    </row>
    <row r="593" spans="1:2" ht="13.9" customHeight="1" x14ac:dyDescent="0.2">
      <c r="A593" s="171"/>
      <c r="B593" s="171"/>
    </row>
    <row r="594" spans="1:2" ht="13.9" customHeight="1" x14ac:dyDescent="0.2">
      <c r="A594" s="171"/>
      <c r="B594" s="171"/>
    </row>
    <row r="595" spans="1:2" ht="13.9" customHeight="1" x14ac:dyDescent="0.2">
      <c r="A595" s="171"/>
      <c r="B595" s="171"/>
    </row>
    <row r="596" spans="1:2" ht="13.9" customHeight="1" x14ac:dyDescent="0.2">
      <c r="A596" s="171"/>
      <c r="B596" s="171"/>
    </row>
    <row r="597" spans="1:2" ht="13.9" customHeight="1" x14ac:dyDescent="0.2">
      <c r="A597" s="171"/>
      <c r="B597" s="171"/>
    </row>
    <row r="598" spans="1:2" ht="13.9" customHeight="1" x14ac:dyDescent="0.2">
      <c r="A598" s="171"/>
      <c r="B598" s="171"/>
    </row>
    <row r="599" spans="1:2" ht="13.9" customHeight="1" x14ac:dyDescent="0.2">
      <c r="A599" s="171"/>
      <c r="B599" s="171"/>
    </row>
    <row r="600" spans="1:2" ht="13.9" customHeight="1" x14ac:dyDescent="0.2">
      <c r="A600" s="171"/>
      <c r="B600" s="171"/>
    </row>
    <row r="601" spans="1:2" ht="13.9" customHeight="1" x14ac:dyDescent="0.2">
      <c r="A601" s="171"/>
      <c r="B601" s="171"/>
    </row>
    <row r="602" spans="1:2" ht="13.9" customHeight="1" x14ac:dyDescent="0.2">
      <c r="A602" s="171"/>
      <c r="B602" s="171"/>
    </row>
    <row r="603" spans="1:2" ht="13.9" customHeight="1" x14ac:dyDescent="0.2">
      <c r="A603" s="171"/>
      <c r="B603" s="171"/>
    </row>
    <row r="604" spans="1:2" ht="13.9" customHeight="1" x14ac:dyDescent="0.2">
      <c r="A604" s="171"/>
      <c r="B604" s="171"/>
    </row>
    <row r="605" spans="1:2" ht="13.9" customHeight="1" x14ac:dyDescent="0.2">
      <c r="A605" s="171"/>
      <c r="B605" s="171"/>
    </row>
    <row r="606" spans="1:2" ht="13.9" customHeight="1" x14ac:dyDescent="0.2">
      <c r="A606" s="171"/>
      <c r="B606" s="171"/>
    </row>
    <row r="607" spans="1:2" ht="13.9" customHeight="1" x14ac:dyDescent="0.2">
      <c r="A607" s="171"/>
      <c r="B607" s="171"/>
    </row>
    <row r="608" spans="1:2" ht="13.9" customHeight="1" x14ac:dyDescent="0.2">
      <c r="A608" s="171"/>
      <c r="B608" s="171"/>
    </row>
    <row r="609" spans="1:2" ht="13.9" customHeight="1" x14ac:dyDescent="0.2">
      <c r="A609" s="171"/>
      <c r="B609" s="171"/>
    </row>
    <row r="610" spans="1:2" ht="13.9" customHeight="1" x14ac:dyDescent="0.2">
      <c r="A610" s="171"/>
      <c r="B610" s="171"/>
    </row>
    <row r="611" spans="1:2" ht="13.9" customHeight="1" x14ac:dyDescent="0.2">
      <c r="A611" s="171"/>
      <c r="B611" s="171"/>
    </row>
    <row r="612" spans="1:2" ht="13.9" customHeight="1" x14ac:dyDescent="0.2">
      <c r="A612" s="171"/>
      <c r="B612" s="171"/>
    </row>
    <row r="613" spans="1:2" ht="13.9" customHeight="1" x14ac:dyDescent="0.2">
      <c r="A613" s="171"/>
      <c r="B613" s="171"/>
    </row>
    <row r="614" spans="1:2" ht="13.9" customHeight="1" x14ac:dyDescent="0.2">
      <c r="A614" s="171"/>
      <c r="B614" s="171"/>
    </row>
    <row r="615" spans="1:2" ht="13.9" customHeight="1" x14ac:dyDescent="0.2">
      <c r="A615" s="171"/>
      <c r="B615" s="171"/>
    </row>
    <row r="616" spans="1:2" ht="13.9" customHeight="1" x14ac:dyDescent="0.2">
      <c r="A616" s="171"/>
      <c r="B616" s="171"/>
    </row>
    <row r="617" spans="1:2" ht="13.9" customHeight="1" x14ac:dyDescent="0.2">
      <c r="A617" s="171"/>
      <c r="B617" s="171"/>
    </row>
    <row r="618" spans="1:2" ht="13.9" customHeight="1" x14ac:dyDescent="0.2">
      <c r="A618" s="171"/>
      <c r="B618" s="171"/>
    </row>
    <row r="619" spans="1:2" ht="13.9" customHeight="1" x14ac:dyDescent="0.2">
      <c r="A619" s="171"/>
      <c r="B619" s="171"/>
    </row>
    <row r="620" spans="1:2" ht="13.9" customHeight="1" x14ac:dyDescent="0.2">
      <c r="A620" s="171"/>
      <c r="B620" s="171"/>
    </row>
    <row r="621" spans="1:2" ht="13.9" customHeight="1" x14ac:dyDescent="0.2">
      <c r="A621" s="171"/>
      <c r="B621" s="171"/>
    </row>
    <row r="622" spans="1:2" ht="13.9" customHeight="1" x14ac:dyDescent="0.2">
      <c r="A622" s="171"/>
      <c r="B622" s="171"/>
    </row>
    <row r="623" spans="1:2" ht="13.9" customHeight="1" x14ac:dyDescent="0.2">
      <c r="A623" s="171"/>
      <c r="B623" s="171"/>
    </row>
    <row r="624" spans="1:2" ht="13.9" customHeight="1" x14ac:dyDescent="0.2">
      <c r="A624" s="171"/>
      <c r="B624" s="171"/>
    </row>
    <row r="625" spans="1:2" ht="13.9" customHeight="1" x14ac:dyDescent="0.2">
      <c r="A625" s="171"/>
      <c r="B625" s="171"/>
    </row>
    <row r="626" spans="1:2" ht="13.9" customHeight="1" x14ac:dyDescent="0.2">
      <c r="A626" s="171"/>
      <c r="B626" s="171"/>
    </row>
    <row r="627" spans="1:2" ht="13.9" customHeight="1" x14ac:dyDescent="0.2">
      <c r="A627" s="171"/>
      <c r="B627" s="171"/>
    </row>
    <row r="628" spans="1:2" ht="13.9" customHeight="1" x14ac:dyDescent="0.2">
      <c r="A628" s="171"/>
      <c r="B628" s="171"/>
    </row>
    <row r="629" spans="1:2" ht="13.9" customHeight="1" x14ac:dyDescent="0.2">
      <c r="A629" s="171"/>
      <c r="B629" s="171"/>
    </row>
    <row r="630" spans="1:2" ht="13.9" customHeight="1" x14ac:dyDescent="0.2">
      <c r="A630" s="171"/>
      <c r="B630" s="171"/>
    </row>
    <row r="631" spans="1:2" x14ac:dyDescent="0.2">
      <c r="A631" s="171"/>
      <c r="B631" s="171"/>
    </row>
    <row r="632" spans="1:2" x14ac:dyDescent="0.2">
      <c r="A632" s="171"/>
      <c r="B632" s="171"/>
    </row>
    <row r="633" spans="1:2" x14ac:dyDescent="0.2">
      <c r="A633" s="171"/>
      <c r="B633" s="171"/>
    </row>
    <row r="634" spans="1:2" x14ac:dyDescent="0.2">
      <c r="A634" s="171"/>
      <c r="B634" s="171"/>
    </row>
    <row r="635" spans="1:2" x14ac:dyDescent="0.2">
      <c r="A635" s="171"/>
      <c r="B635" s="171"/>
    </row>
    <row r="636" spans="1:2" x14ac:dyDescent="0.2">
      <c r="A636" s="171"/>
      <c r="B636" s="171"/>
    </row>
    <row r="637" spans="1:2" x14ac:dyDescent="0.2">
      <c r="A637" s="171"/>
      <c r="B637" s="171"/>
    </row>
    <row r="638" spans="1:2" x14ac:dyDescent="0.2">
      <c r="A638" s="171"/>
      <c r="B638" s="171"/>
    </row>
    <row r="639" spans="1:2" x14ac:dyDescent="0.2">
      <c r="A639" s="171"/>
      <c r="B639" s="171"/>
    </row>
  </sheetData>
  <sheetProtection algorithmName="SHA-512" hashValue="cPIgN6aAmzOtygKbK/9LQAlGY/hy4KdMYV4yAplai823RFnWb5iZErSthi9O5YLBacw6F1BPdr3hvoQTcbayog==" saltValue="aOoiqzkoUcowkvws0ydqkA==" spinCount="100000" sheet="1" insertRows="0"/>
  <mergeCells count="3">
    <mergeCell ref="A2:F2"/>
    <mergeCell ref="A1:F1"/>
    <mergeCell ref="A4:E4"/>
  </mergeCells>
  <phoneticPr fontId="6" type="noConversion"/>
  <hyperlinks>
    <hyperlink ref="A3" r:id="rId1" display="School Code, Section 10-20.21 - Contracts" xr:uid="{00000000-0004-0000-0A00-000000000000}"/>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autoPageBreaks="0"/>
  </sheetPr>
  <dimension ref="A1:D51"/>
  <sheetViews>
    <sheetView showGridLines="0" zoomScale="120" zoomScaleNormal="120" workbookViewId="0"/>
  </sheetViews>
  <sheetFormatPr defaultColWidth="9.140625" defaultRowHeight="12.75" x14ac:dyDescent="0.2"/>
  <cols>
    <col min="1" max="1" width="3" style="269" bestFit="1" customWidth="1"/>
    <col min="2" max="2" width="90.85546875" style="542" customWidth="1"/>
    <col min="3" max="3" width="11.5703125" style="542" customWidth="1"/>
    <col min="4" max="4" width="7.85546875" style="542" customWidth="1"/>
    <col min="5" max="16384" width="9.140625" style="269"/>
  </cols>
  <sheetData>
    <row r="1" spans="1:2" x14ac:dyDescent="0.2">
      <c r="A1" s="573"/>
      <c r="B1" s="574" t="s">
        <v>359</v>
      </c>
    </row>
    <row r="2" spans="1:2" ht="5.25" customHeight="1" x14ac:dyDescent="0.2">
      <c r="B2" s="510"/>
    </row>
    <row r="3" spans="1:2" ht="22.5" x14ac:dyDescent="0.2">
      <c r="A3" s="575">
        <v>1</v>
      </c>
      <c r="B3" s="576" t="s">
        <v>71</v>
      </c>
    </row>
    <row r="4" spans="1:2" ht="6" customHeight="1" x14ac:dyDescent="0.2">
      <c r="A4" s="575"/>
      <c r="B4" s="577"/>
    </row>
    <row r="5" spans="1:2" ht="22.5" x14ac:dyDescent="0.2">
      <c r="A5" s="575">
        <v>2</v>
      </c>
      <c r="B5" s="576" t="s">
        <v>331</v>
      </c>
    </row>
    <row r="6" spans="1:2" ht="6" customHeight="1" x14ac:dyDescent="0.2">
      <c r="A6" s="578"/>
    </row>
    <row r="7" spans="1:2" ht="22.5" x14ac:dyDescent="0.2">
      <c r="A7" s="579">
        <v>3</v>
      </c>
      <c r="B7" s="580" t="s">
        <v>213</v>
      </c>
    </row>
    <row r="8" spans="1:2" ht="12" customHeight="1" x14ac:dyDescent="0.2">
      <c r="A8" s="581" t="s">
        <v>582</v>
      </c>
      <c r="B8" s="542" t="s">
        <v>583</v>
      </c>
    </row>
    <row r="9" spans="1:2" ht="13.35" customHeight="1" x14ac:dyDescent="0.2">
      <c r="A9" s="579">
        <v>4</v>
      </c>
      <c r="B9" s="542" t="s">
        <v>247</v>
      </c>
    </row>
    <row r="10" spans="1:2" ht="13.35" customHeight="1" x14ac:dyDescent="0.2">
      <c r="A10" s="578"/>
      <c r="B10" s="542" t="s">
        <v>220</v>
      </c>
    </row>
    <row r="11" spans="1:2" ht="13.35" customHeight="1" x14ac:dyDescent="0.2">
      <c r="A11" s="578"/>
      <c r="B11" s="542" t="s">
        <v>384</v>
      </c>
    </row>
    <row r="12" spans="1:2" ht="13.35" customHeight="1" x14ac:dyDescent="0.2">
      <c r="A12" s="578"/>
      <c r="B12" s="542" t="s">
        <v>385</v>
      </c>
    </row>
    <row r="13" spans="1:2" ht="13.35" customHeight="1" x14ac:dyDescent="0.2">
      <c r="A13" s="578"/>
      <c r="B13" s="542" t="s">
        <v>72</v>
      </c>
    </row>
    <row r="14" spans="1:2" ht="6" customHeight="1" x14ac:dyDescent="0.2">
      <c r="A14" s="582"/>
      <c r="B14" s="577"/>
    </row>
    <row r="15" spans="1:2" ht="56.25" x14ac:dyDescent="0.2">
      <c r="A15" s="579">
        <v>5</v>
      </c>
      <c r="B15" s="580" t="s">
        <v>49</v>
      </c>
    </row>
    <row r="16" spans="1:2" ht="6" customHeight="1" x14ac:dyDescent="0.2">
      <c r="A16" s="583"/>
      <c r="B16" s="584"/>
    </row>
    <row r="17" spans="1:4" ht="33.75" customHeight="1" x14ac:dyDescent="0.2">
      <c r="A17" s="585">
        <v>6</v>
      </c>
      <c r="B17" s="528" t="s">
        <v>389</v>
      </c>
    </row>
    <row r="18" spans="1:4" ht="6" customHeight="1" x14ac:dyDescent="0.2">
      <c r="A18" s="586"/>
      <c r="B18" s="577"/>
    </row>
    <row r="19" spans="1:4" ht="13.35" customHeight="1" x14ac:dyDescent="0.2">
      <c r="A19" s="587">
        <v>7</v>
      </c>
      <c r="B19" s="577" t="s">
        <v>104</v>
      </c>
      <c r="D19" s="588"/>
    </row>
    <row r="20" spans="1:4" ht="6" customHeight="1" x14ac:dyDescent="0.2">
      <c r="A20" s="589"/>
      <c r="B20" s="577"/>
    </row>
    <row r="21" spans="1:4" ht="20.85" customHeight="1" x14ac:dyDescent="0.2">
      <c r="A21" s="587">
        <v>8</v>
      </c>
      <c r="B21" s="590" t="s">
        <v>580</v>
      </c>
    </row>
    <row r="22" spans="1:4" ht="6" customHeight="1" x14ac:dyDescent="0.2">
      <c r="A22" s="587"/>
      <c r="B22" s="590"/>
    </row>
    <row r="23" spans="1:4" ht="22.5" x14ac:dyDescent="0.2">
      <c r="A23" s="591">
        <v>9</v>
      </c>
      <c r="B23" s="590" t="s">
        <v>581</v>
      </c>
    </row>
    <row r="24" spans="1:4" ht="6" customHeight="1" x14ac:dyDescent="0.2">
      <c r="A24" s="586"/>
      <c r="B24" s="577"/>
    </row>
    <row r="25" spans="1:4" ht="13.35" customHeight="1" x14ac:dyDescent="0.2">
      <c r="A25" s="592">
        <v>10</v>
      </c>
      <c r="B25" s="593" t="s">
        <v>585</v>
      </c>
    </row>
    <row r="26" spans="1:4" ht="6" customHeight="1" x14ac:dyDescent="0.2">
      <c r="A26" s="535"/>
    </row>
    <row r="27" spans="1:4" ht="13.35" customHeight="1" x14ac:dyDescent="0.2">
      <c r="A27" s="594">
        <v>11</v>
      </c>
      <c r="B27" s="595" t="s">
        <v>388</v>
      </c>
    </row>
    <row r="28" spans="1:4" ht="6" customHeight="1" x14ac:dyDescent="0.2"/>
    <row r="29" spans="1:4" ht="22.5" x14ac:dyDescent="0.2">
      <c r="A29" s="596" t="s">
        <v>412</v>
      </c>
      <c r="B29" s="597" t="s">
        <v>332</v>
      </c>
    </row>
    <row r="30" spans="1:4" ht="6" customHeight="1" x14ac:dyDescent="0.2">
      <c r="A30" s="535"/>
    </row>
    <row r="31" spans="1:4" ht="33.75" x14ac:dyDescent="0.2">
      <c r="A31" s="596" t="s">
        <v>256</v>
      </c>
      <c r="B31" s="598" t="s">
        <v>386</v>
      </c>
    </row>
    <row r="32" spans="1:4" ht="6" customHeight="1" x14ac:dyDescent="0.2">
      <c r="A32" s="599"/>
      <c r="B32" s="600"/>
    </row>
    <row r="33" spans="1:2" ht="20.25" customHeight="1" x14ac:dyDescent="0.2">
      <c r="A33" s="601">
        <v>14</v>
      </c>
      <c r="B33" s="602" t="s">
        <v>724</v>
      </c>
    </row>
    <row r="34" spans="1:2" ht="6" customHeight="1" x14ac:dyDescent="0.2"/>
    <row r="35" spans="1:2" ht="22.5" x14ac:dyDescent="0.2">
      <c r="A35" s="603">
        <v>15</v>
      </c>
      <c r="B35" s="604" t="s">
        <v>725</v>
      </c>
    </row>
    <row r="36" spans="1:2" ht="8.25" customHeight="1" x14ac:dyDescent="0.2">
      <c r="A36" s="605"/>
      <c r="B36" s="606"/>
    </row>
    <row r="37" spans="1:2" ht="11.25" customHeight="1" x14ac:dyDescent="0.2">
      <c r="A37" s="603">
        <v>16</v>
      </c>
      <c r="B37" s="607" t="s">
        <v>573</v>
      </c>
    </row>
    <row r="38" spans="1:2" x14ac:dyDescent="0.2">
      <c r="B38" s="580" t="s">
        <v>574</v>
      </c>
    </row>
    <row r="39" spans="1:2" x14ac:dyDescent="0.2">
      <c r="B39" s="608" t="s">
        <v>575</v>
      </c>
    </row>
    <row r="40" spans="1:2" x14ac:dyDescent="0.2">
      <c r="B40" s="542" t="s">
        <v>576</v>
      </c>
    </row>
    <row r="51" spans="4:4" x14ac:dyDescent="0.2">
      <c r="D51" s="584"/>
    </row>
  </sheetData>
  <sheetProtection algorithmName="SHA-512" hashValue="2sv7xheoEgnm74fxItA4ypmb15AxJ4Dt1kuhclUdZu+1TnPcW+PjCCkV3jrg8M9pAetg6IruCM3/4ZK5PD+bSQ==" saltValue="pLy6SkPhRayJo3GkqqMBDQ==" spinCount="100000" sheet="1" objects="1" scenarios="1"/>
  <phoneticPr fontId="6"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autoPageBreaks="0" fitToPage="1"/>
  </sheetPr>
  <dimension ref="A1:G56"/>
  <sheetViews>
    <sheetView showGridLines="0" zoomScale="110" zoomScaleNormal="110" workbookViewId="0">
      <selection activeCell="C54" sqref="C54"/>
    </sheetView>
  </sheetViews>
  <sheetFormatPr defaultColWidth="9.140625" defaultRowHeight="12.75" x14ac:dyDescent="0.2"/>
  <cols>
    <col min="1" max="1" width="3" style="569" customWidth="1"/>
    <col min="2" max="2" width="86.28515625" style="511" customWidth="1"/>
    <col min="3" max="3" width="49.85546875" style="511" bestFit="1" customWidth="1"/>
    <col min="4" max="4" width="7.7109375" style="666" customWidth="1"/>
    <col min="5" max="5" width="2.85546875" style="511" customWidth="1"/>
    <col min="6" max="6" width="5.85546875" style="511" customWidth="1"/>
    <col min="7" max="7" width="2.85546875" style="511" customWidth="1"/>
    <col min="8" max="16384" width="9.140625" style="511"/>
  </cols>
  <sheetData>
    <row r="1" spans="1:7" x14ac:dyDescent="0.2">
      <c r="A1" s="1834" t="s">
        <v>422</v>
      </c>
      <c r="B1" s="1835"/>
      <c r="C1" s="1836"/>
    </row>
    <row r="2" spans="1:7" x14ac:dyDescent="0.2">
      <c r="A2" s="1837" t="s">
        <v>421</v>
      </c>
      <c r="B2" s="1838"/>
      <c r="C2" s="1839"/>
    </row>
    <row r="3" spans="1:7" ht="25.5" customHeight="1" x14ac:dyDescent="0.2">
      <c r="A3" s="1837" t="s">
        <v>3032</v>
      </c>
      <c r="B3" s="1838"/>
      <c r="C3" s="1839"/>
    </row>
    <row r="4" spans="1:7" ht="16.5" customHeight="1" thickBot="1" x14ac:dyDescent="0.3">
      <c r="A4" s="1840" t="s">
        <v>3292</v>
      </c>
      <c r="B4" s="1841"/>
      <c r="C4" s="1842"/>
    </row>
    <row r="5" spans="1:7" s="610" customFormat="1" ht="30" customHeight="1" thickTop="1" thickBot="1" x14ac:dyDescent="0.25">
      <c r="A5" s="704"/>
      <c r="B5" s="609" t="s">
        <v>167</v>
      </c>
      <c r="C5" s="705" t="s">
        <v>402</v>
      </c>
      <c r="D5" s="667"/>
    </row>
    <row r="6" spans="1:7" s="610" customFormat="1" ht="30" customHeight="1" thickTop="1" x14ac:dyDescent="0.2">
      <c r="A6" s="554"/>
      <c r="B6" s="669" t="s">
        <v>3029</v>
      </c>
      <c r="C6" s="670" t="str">
        <f>IF(AND(OR(C8="Deficit Reduction Plan is not required", C9="Deficit Reduction Plan complete"), F55=37), "OK - You may now save and submit form","Please correct errors below")</f>
        <v>OK - You may now save and submit form</v>
      </c>
      <c r="D6" s="667"/>
    </row>
    <row r="7" spans="1:7" s="610" customFormat="1" x14ac:dyDescent="0.2">
      <c r="A7" s="556">
        <v>1</v>
      </c>
      <c r="B7" s="557" t="s">
        <v>3027</v>
      </c>
      <c r="C7" s="558"/>
      <c r="D7" s="667"/>
    </row>
    <row r="8" spans="1:7" ht="23.45" customHeight="1" x14ac:dyDescent="0.2">
      <c r="A8" s="554"/>
      <c r="B8" s="633" t="s">
        <v>3033</v>
      </c>
      <c r="C8" s="703"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9" spans="1:7" x14ac:dyDescent="0.2">
      <c r="A9" s="555"/>
      <c r="B9" s="633" t="s">
        <v>3034</v>
      </c>
      <c r="C9" s="668" t="str">
        <f>IF(AND(C8='DeficitBudgetSum Calc 22'!G17,'DefReductPlan 23-27'!Z22&gt;0),"Deficit Reduction Plan complete",IF(AND(C8='DeficitBudgetSum Calc 22'!G17,'DefReductPlan 23-27'!Z22=0),"ERROR - PLEASE COMPLETE Deficit Reduction Plan",""))</f>
        <v/>
      </c>
      <c r="F9" s="666"/>
      <c r="G9" s="666"/>
    </row>
    <row r="10" spans="1:7" x14ac:dyDescent="0.2">
      <c r="A10" s="556">
        <v>2</v>
      </c>
      <c r="B10" s="557" t="s">
        <v>818</v>
      </c>
      <c r="C10" s="558"/>
      <c r="F10" s="666"/>
      <c r="G10" s="666"/>
    </row>
    <row r="11" spans="1:7" ht="24" x14ac:dyDescent="0.2">
      <c r="A11" s="559"/>
      <c r="B11" s="1665" t="s">
        <v>3290</v>
      </c>
      <c r="C11" s="563" t="str">
        <f>IF(OR(Cover!H13="",ISNA(VLOOKUP(Cover!$H$13,'District Dropdown'!$B$3:$C$996,2,FALSE))),"ERROR - SELECT DISTRICT FROM DROP-DOWN MENU","OK")</f>
        <v>OK</v>
      </c>
      <c r="F11" s="666" t="str">
        <f>C11</f>
        <v>OK</v>
      </c>
      <c r="G11" s="666"/>
    </row>
    <row r="12" spans="1:7" x14ac:dyDescent="0.2">
      <c r="A12" s="559"/>
      <c r="B12" s="560" t="s">
        <v>1754</v>
      </c>
      <c r="C12" s="563" t="str">
        <f>IF(Cover!B6="Click here to choose accounting basis","ERROR - CHOOSE ACCOUNTING BASIS","OK")</f>
        <v>OK</v>
      </c>
      <c r="F12" s="666" t="str">
        <f t="shared" ref="F12:F14" si="0">C12</f>
        <v>OK</v>
      </c>
      <c r="G12" s="666"/>
    </row>
    <row r="13" spans="1:7" x14ac:dyDescent="0.2">
      <c r="A13" s="561"/>
      <c r="B13" s="560" t="s">
        <v>3077</v>
      </c>
      <c r="C13" s="563" t="str">
        <f>IF(OR(ISBLANK(Cover!M31),ISBLANK(Cover!Q31),ISBLANK(Cover!P43),ISBLANK(Cover!T43)),"ERROR - INPUT DATE(S)","OK")</f>
        <v>OK</v>
      </c>
      <c r="F13" s="666" t="str">
        <f t="shared" si="0"/>
        <v>OK</v>
      </c>
      <c r="G13" s="666"/>
    </row>
    <row r="14" spans="1:7" x14ac:dyDescent="0.2">
      <c r="A14" s="564"/>
      <c r="B14" s="560" t="s">
        <v>3076</v>
      </c>
      <c r="C14" s="563" t="str">
        <f>IF(COUNTA(Cover!E49:Q58)=0,"ERROR - TYPE BOARD NAMES","OK")</f>
        <v>OK</v>
      </c>
      <c r="F14" s="666" t="str">
        <f t="shared" si="0"/>
        <v>OK</v>
      </c>
      <c r="G14" s="666"/>
    </row>
    <row r="15" spans="1:7" x14ac:dyDescent="0.2">
      <c r="A15" s="566">
        <v>3</v>
      </c>
      <c r="B15" s="1845" t="s">
        <v>813</v>
      </c>
      <c r="C15" s="1846"/>
      <c r="F15" s="666"/>
      <c r="G15" s="666"/>
    </row>
    <row r="16" spans="1:7" ht="22.5" customHeight="1" x14ac:dyDescent="0.2">
      <c r="A16" s="561"/>
      <c r="B16" s="562" t="s">
        <v>3096</v>
      </c>
      <c r="C16" s="563" t="str">
        <f>IF(AND(ISNUMBER('BudgetSum 2-4'!C3),ISNUMBER('BudgetSum 2-4'!D3),ISNUMBER('BudgetSum 2-4'!E3),ISNUMBER('BudgetSum 2-4'!F3),ISNUMBER('BudgetSum 2-4'!G3),ISNUMBER('BudgetSum 2-4'!H3),ISNUMBER('BudgetSum 2-4'!I3),ISNUMBER('BudgetSum 2-4'!J3),ISNUMBER('BudgetSum 2-4'!K3)),"OK","ERROR - ENTER AMOUNTS. IF ZERO, ENTER NUMBER 0")</f>
        <v>OK</v>
      </c>
      <c r="F16" s="666" t="str">
        <f>C16</f>
        <v>OK</v>
      </c>
      <c r="G16" s="666"/>
    </row>
    <row r="17" spans="1:7" ht="22.5" customHeight="1" x14ac:dyDescent="0.2">
      <c r="A17" s="561"/>
      <c r="B17" s="562" t="s">
        <v>3128</v>
      </c>
      <c r="C17" s="563" t="str">
        <f>IF(ISNUMBER('BudgetSum 2-4'!C83),"OK","ERROR - ENTER AMOUNT. IF ZERO, ENTER NUMBER 0")</f>
        <v>OK</v>
      </c>
      <c r="F17" s="666" t="str">
        <f t="shared" ref="F17:F54" si="1">C17</f>
        <v>OK</v>
      </c>
      <c r="G17" s="666"/>
    </row>
    <row r="18" spans="1:7" ht="24" x14ac:dyDescent="0.2">
      <c r="A18" s="561"/>
      <c r="B18" s="562" t="s">
        <v>703</v>
      </c>
      <c r="C18" s="563" t="str">
        <f>IF(SUM('BudgetSum 2-4'!C29:D29,'BudgetSum 2-4'!F29)&lt;&gt;SUM('BudgetSum 2-4'!C52:D52,'BudgetSum 2-4'!F52),"ERROR - CHECK TRANSFER(S)","OK")</f>
        <v>OK</v>
      </c>
      <c r="F18" s="666" t="str">
        <f t="shared" si="1"/>
        <v>OK</v>
      </c>
      <c r="G18" s="666"/>
    </row>
    <row r="19" spans="1:7" ht="24" x14ac:dyDescent="0.2">
      <c r="A19" s="561"/>
      <c r="B19" s="562" t="s">
        <v>704</v>
      </c>
      <c r="C19" s="563" t="str">
        <f>IF(SUM('BudgetSum 2-4'!C30:K30)&lt;&gt;SUM('BudgetSum 2-4'!C53:J53),"ERROR - CHECK TRANSFER(S)","OK")</f>
        <v>OK</v>
      </c>
      <c r="F19" s="666" t="str">
        <f t="shared" si="1"/>
        <v>OK</v>
      </c>
    </row>
    <row r="20" spans="1:7" ht="24" x14ac:dyDescent="0.2">
      <c r="A20" s="564"/>
      <c r="B20" s="565" t="s">
        <v>3120</v>
      </c>
      <c r="C20" s="563" t="str">
        <f>IF(('BudgetSum 2-4'!E39)&lt;&gt;SUM('BudgetSum 2-4'!C57:H60),"ERROR - CHECK TRANSFER(S)","OK")</f>
        <v>OK</v>
      </c>
      <c r="F20" s="666" t="str">
        <f t="shared" si="1"/>
        <v>OK</v>
      </c>
    </row>
    <row r="21" spans="1:7" ht="24" x14ac:dyDescent="0.2">
      <c r="A21" s="564"/>
      <c r="B21" s="565" t="s">
        <v>3121</v>
      </c>
      <c r="C21" s="563" t="str">
        <f>IF(('BudgetSum 2-4'!E40)&lt;&gt;SUM('BudgetSum 2-4'!C61:H64),"ERROR - CHECK TRANSFER(S)","OK")</f>
        <v>OK</v>
      </c>
      <c r="F21" s="666" t="str">
        <f t="shared" si="1"/>
        <v>OK</v>
      </c>
    </row>
    <row r="22" spans="1:7" ht="24" x14ac:dyDescent="0.2">
      <c r="A22" s="564"/>
      <c r="B22" s="565" t="s">
        <v>705</v>
      </c>
      <c r="C22" s="563" t="str">
        <f>IF(('BudgetSum 2-4'!E41)&lt;&gt;SUM('BudgetSum 2-4'!C65:D68),"ERROR - CHECK TRANSFER(S)","OK")</f>
        <v>OK</v>
      </c>
      <c r="F22" s="666" t="str">
        <f t="shared" si="1"/>
        <v>OK</v>
      </c>
    </row>
    <row r="23" spans="1:7" ht="24" x14ac:dyDescent="0.2">
      <c r="A23" s="564"/>
      <c r="B23" s="565" t="s">
        <v>706</v>
      </c>
      <c r="C23" s="563" t="str">
        <f>IF(('BudgetSum 2-4'!E42)&lt;&gt;SUM('BudgetSum 2-4'!C69:D72),"ERROR - CHECK TRANSFER(S)","OK")</f>
        <v>OK</v>
      </c>
      <c r="F23" s="666" t="str">
        <f t="shared" si="1"/>
        <v>OK</v>
      </c>
    </row>
    <row r="24" spans="1:7" ht="24" x14ac:dyDescent="0.2">
      <c r="A24" s="564"/>
      <c r="B24" s="565" t="s">
        <v>707</v>
      </c>
      <c r="C24" s="563" t="str">
        <f>IF(('BudgetSum 2-4'!H43)&lt;&gt;SUM('BudgetSum 2-4'!C73:D76),"ERROR - CHECK TRANSFER(S)","OK")</f>
        <v>OK</v>
      </c>
      <c r="F24" s="666" t="str">
        <f t="shared" si="1"/>
        <v>OK</v>
      </c>
    </row>
    <row r="25" spans="1:7" x14ac:dyDescent="0.2">
      <c r="A25" s="566">
        <v>4</v>
      </c>
      <c r="B25" s="1843" t="s">
        <v>3093</v>
      </c>
      <c r="C25" s="1844"/>
      <c r="F25" s="666">
        <f t="shared" si="1"/>
        <v>0</v>
      </c>
    </row>
    <row r="26" spans="1:7" x14ac:dyDescent="0.2">
      <c r="A26" s="567"/>
      <c r="B26" s="562" t="s">
        <v>708</v>
      </c>
      <c r="C26" s="563" t="str">
        <f>IF('CashSum 5'!$C$3&lt;0,"CHECK ERROR - NEGATIVE BEGINNING BALANCE","OK")</f>
        <v>OK</v>
      </c>
      <c r="F26" s="666" t="str">
        <f t="shared" si="1"/>
        <v>OK</v>
      </c>
    </row>
    <row r="27" spans="1:7" x14ac:dyDescent="0.2">
      <c r="A27" s="561"/>
      <c r="B27" s="562" t="s">
        <v>709</v>
      </c>
      <c r="C27" s="563" t="str">
        <f>IF('CashSum 5'!$D$3&lt;0,"CHECK ERROR - NEGATIVE BEGINNING BALANCE","OK")</f>
        <v>OK</v>
      </c>
      <c r="F27" s="666" t="str">
        <f t="shared" si="1"/>
        <v>OK</v>
      </c>
    </row>
    <row r="28" spans="1:7" x14ac:dyDescent="0.2">
      <c r="A28" s="561"/>
      <c r="B28" s="562" t="s">
        <v>710</v>
      </c>
      <c r="C28" s="563" t="str">
        <f>IF('CashSum 5'!$E$3&lt;0,"CHECK ERROR - NEGATIVE BEGINNING BALANCE","OK")</f>
        <v>OK</v>
      </c>
      <c r="F28" s="666" t="str">
        <f t="shared" si="1"/>
        <v>OK</v>
      </c>
    </row>
    <row r="29" spans="1:7" x14ac:dyDescent="0.2">
      <c r="A29" s="561"/>
      <c r="B29" s="562" t="s">
        <v>711</v>
      </c>
      <c r="C29" s="563" t="str">
        <f>IF('CashSum 5'!$F$3&lt;0,"CHECK ERROR - NEGATIVE BEGINNING BALANCE","OK")</f>
        <v>OK</v>
      </c>
      <c r="F29" s="666" t="str">
        <f t="shared" si="1"/>
        <v>OK</v>
      </c>
    </row>
    <row r="30" spans="1:7" x14ac:dyDescent="0.2">
      <c r="A30" s="561"/>
      <c r="B30" s="562" t="s">
        <v>712</v>
      </c>
      <c r="C30" s="563" t="str">
        <f>IF('CashSum 5'!$G$3&lt;0,"CHECK ERROR - NEGATIVE BEGINNING BALANCE","OK")</f>
        <v>OK</v>
      </c>
      <c r="F30" s="666" t="str">
        <f t="shared" si="1"/>
        <v>OK</v>
      </c>
    </row>
    <row r="31" spans="1:7" x14ac:dyDescent="0.2">
      <c r="A31" s="561"/>
      <c r="B31" s="562" t="s">
        <v>713</v>
      </c>
      <c r="C31" s="563" t="str">
        <f>IF('CashSum 5'!$H$3&lt;0,"CHECK ERROR - NEGATIVE BEGINNING BALANCE","OK")</f>
        <v>OK</v>
      </c>
      <c r="F31" s="666" t="str">
        <f t="shared" si="1"/>
        <v>OK</v>
      </c>
    </row>
    <row r="32" spans="1:7" x14ac:dyDescent="0.2">
      <c r="A32" s="561"/>
      <c r="B32" s="562" t="s">
        <v>714</v>
      </c>
      <c r="C32" s="563" t="str">
        <f>IF('CashSum 5'!$I$3&lt;0,"CHECK ERROR - NEGATIVE BEGINNING BALANCE","OK")</f>
        <v>OK</v>
      </c>
      <c r="F32" s="666" t="str">
        <f t="shared" si="1"/>
        <v>OK</v>
      </c>
    </row>
    <row r="33" spans="1:6" x14ac:dyDescent="0.2">
      <c r="A33" s="561"/>
      <c r="B33" s="562" t="s">
        <v>715</v>
      </c>
      <c r="C33" s="563" t="str">
        <f>IF('CashSum 5'!$J$3&lt;0,"CHECK ERROR - NEGATIVE BEGINNING BALANCE","OK")</f>
        <v>OK</v>
      </c>
      <c r="F33" s="666" t="str">
        <f t="shared" si="1"/>
        <v>OK</v>
      </c>
    </row>
    <row r="34" spans="1:6" x14ac:dyDescent="0.2">
      <c r="A34" s="561"/>
      <c r="B34" s="562" t="s">
        <v>716</v>
      </c>
      <c r="C34" s="563" t="str">
        <f>IF('CashSum 5'!$K$3&lt;0,"CHECK ERROR - NEGATIVE BEGINNING BALANCE","OK")</f>
        <v>OK</v>
      </c>
      <c r="F34" s="666" t="str">
        <f t="shared" si="1"/>
        <v>OK</v>
      </c>
    </row>
    <row r="35" spans="1:6" x14ac:dyDescent="0.2">
      <c r="A35" s="564"/>
      <c r="B35" s="562" t="s">
        <v>795</v>
      </c>
      <c r="C35" s="563" t="str">
        <f>IF(ISNUMBER('CashSum 5'!C23),"OK","ERROR - ENTER AMOUNTS. IF ZERO, ENTER NUMBER 0")</f>
        <v>OK</v>
      </c>
      <c r="F35" s="666" t="str">
        <f t="shared" si="1"/>
        <v>OK</v>
      </c>
    </row>
    <row r="36" spans="1:6" x14ac:dyDescent="0.2">
      <c r="A36" s="651">
        <v>5</v>
      </c>
      <c r="B36" s="1832" t="s">
        <v>3094</v>
      </c>
      <c r="C36" s="1833"/>
      <c r="F36" s="666">
        <f t="shared" si="1"/>
        <v>0</v>
      </c>
    </row>
    <row r="37" spans="1:6" x14ac:dyDescent="0.2">
      <c r="A37" s="561"/>
      <c r="B37" s="568" t="s">
        <v>717</v>
      </c>
      <c r="C37" s="563" t="str">
        <f>IF('CashSum 5'!$C$21&lt;0,"CHECK ERROR - NEGATIVE END BALANCE","OK")</f>
        <v>OK</v>
      </c>
      <c r="F37" s="666" t="str">
        <f t="shared" si="1"/>
        <v>OK</v>
      </c>
    </row>
    <row r="38" spans="1:6" x14ac:dyDescent="0.2">
      <c r="A38" s="561"/>
      <c r="B38" s="568" t="s">
        <v>718</v>
      </c>
      <c r="C38" s="563" t="str">
        <f>IF('CashSum 5'!$D$21&lt;0,"CHECK ERROR - NEGATIVE END BALANCE","OK")</f>
        <v>OK</v>
      </c>
      <c r="F38" s="666" t="str">
        <f t="shared" si="1"/>
        <v>OK</v>
      </c>
    </row>
    <row r="39" spans="1:6" x14ac:dyDescent="0.2">
      <c r="A39" s="561"/>
      <c r="B39" s="562" t="s">
        <v>719</v>
      </c>
      <c r="C39" s="563" t="str">
        <f>IF('CashSum 5'!$E$21&lt;0,"CHECK ERROR - NEGATIVE END BALANCE","OK")</f>
        <v>OK</v>
      </c>
      <c r="F39" s="666" t="str">
        <f t="shared" si="1"/>
        <v>OK</v>
      </c>
    </row>
    <row r="40" spans="1:6" x14ac:dyDescent="0.2">
      <c r="A40" s="561"/>
      <c r="B40" s="568" t="s">
        <v>815</v>
      </c>
      <c r="C40" s="563" t="str">
        <f>IF('CashSum 5'!$F$21&lt;0,"CHECK ERROR - NEGATIVE END BALANCE","OK")</f>
        <v>OK</v>
      </c>
      <c r="F40" s="666" t="str">
        <f t="shared" si="1"/>
        <v>OK</v>
      </c>
    </row>
    <row r="41" spans="1:6" x14ac:dyDescent="0.2">
      <c r="A41" s="561"/>
      <c r="B41" s="568" t="s">
        <v>720</v>
      </c>
      <c r="C41" s="563" t="str">
        <f>IF('CashSum 5'!$G$21&lt;0,"CHECK ERROR - NEGATIVE END BALANCE","OK")</f>
        <v>OK</v>
      </c>
      <c r="F41" s="666" t="str">
        <f t="shared" si="1"/>
        <v>OK</v>
      </c>
    </row>
    <row r="42" spans="1:6" x14ac:dyDescent="0.2">
      <c r="A42" s="561"/>
      <c r="B42" s="562" t="s">
        <v>817</v>
      </c>
      <c r="C42" s="563" t="str">
        <f>IF('CashSum 5'!$H$21&lt;0,"CHECK ERROR - NEGATIVE END BALANCE","OK")</f>
        <v>OK</v>
      </c>
      <c r="F42" s="666" t="str">
        <f t="shared" si="1"/>
        <v>OK</v>
      </c>
    </row>
    <row r="43" spans="1:6" x14ac:dyDescent="0.2">
      <c r="A43" s="561"/>
      <c r="B43" s="568" t="s">
        <v>721</v>
      </c>
      <c r="C43" s="563" t="str">
        <f>IF('CashSum 5'!$I$21&lt;0,"CHECK ERROR - NEGATIVE END BALANCE","OK")</f>
        <v>OK</v>
      </c>
      <c r="F43" s="666" t="str">
        <f t="shared" si="1"/>
        <v>OK</v>
      </c>
    </row>
    <row r="44" spans="1:6" x14ac:dyDescent="0.2">
      <c r="A44" s="561"/>
      <c r="B44" s="562" t="s">
        <v>722</v>
      </c>
      <c r="C44" s="563" t="str">
        <f>IF('CashSum 5'!$J$21&lt;0,"CHECK ERROR - NEGATIVE END BALANCE","OK")</f>
        <v>OK</v>
      </c>
      <c r="F44" s="666" t="str">
        <f t="shared" si="1"/>
        <v>OK</v>
      </c>
    </row>
    <row r="45" spans="1:6" x14ac:dyDescent="0.2">
      <c r="A45" s="561"/>
      <c r="B45" s="568" t="s">
        <v>723</v>
      </c>
      <c r="C45" s="563" t="str">
        <f>IF('CashSum 5'!$K$21&lt;0,"ERROR - NEGATIVE END BALANCE. PLEASE CORRECT.","OK")</f>
        <v>OK</v>
      </c>
      <c r="F45" s="666" t="str">
        <f t="shared" si="1"/>
        <v>OK</v>
      </c>
    </row>
    <row r="46" spans="1:6" x14ac:dyDescent="0.2">
      <c r="A46" s="651">
        <v>6</v>
      </c>
      <c r="B46" s="1830" t="s">
        <v>810</v>
      </c>
      <c r="C46" s="1831"/>
      <c r="F46" s="666">
        <f t="shared" si="1"/>
        <v>0</v>
      </c>
    </row>
    <row r="47" spans="1:6" ht="24" x14ac:dyDescent="0.2">
      <c r="A47" s="561"/>
      <c r="B47" s="562" t="s">
        <v>814</v>
      </c>
      <c r="C47" s="563" t="str">
        <f>IF(SUM('CashSum 5'!C6:K6)&lt;&gt;SUM('CashSum 5'!C15:K15),"ERROR - CHECK INTERFUND LOANS","OK")</f>
        <v>OK</v>
      </c>
      <c r="F47" s="666" t="str">
        <f t="shared" si="1"/>
        <v>OK</v>
      </c>
    </row>
    <row r="48" spans="1:6" ht="24" x14ac:dyDescent="0.2">
      <c r="A48" s="561"/>
      <c r="B48" s="562" t="s">
        <v>816</v>
      </c>
      <c r="C48" s="563" t="str">
        <f>IF(SUM('CashSum 5'!C7:K7)&lt;&gt;SUM('CashSum 5'!C16:K16),"ERROR - CHECK INTERFUND LOANS","OK")</f>
        <v>OK</v>
      </c>
      <c r="F48" s="666" t="str">
        <f t="shared" si="1"/>
        <v>OK</v>
      </c>
    </row>
    <row r="49" spans="1:6" x14ac:dyDescent="0.2">
      <c r="A49" s="651">
        <v>7</v>
      </c>
      <c r="B49" s="1830" t="s">
        <v>811</v>
      </c>
      <c r="C49" s="1831"/>
      <c r="F49" s="666">
        <f t="shared" si="1"/>
        <v>0</v>
      </c>
    </row>
    <row r="50" spans="1:6" x14ac:dyDescent="0.2">
      <c r="A50" s="561"/>
      <c r="B50" s="562" t="s">
        <v>1752</v>
      </c>
      <c r="C50" s="563" t="str">
        <f>IF(OR('BudgetSum 2-4'!C9&gt;0,'BudgetSum 2-4'!D9&gt;0,'BudgetSum 2-4'!E9&gt;0,'BudgetSum 2-4'!F9&gt;0,'BudgetSum 2-4'!G9&gt;0,'BudgetSum 2-4'!H9&gt;0,'BudgetSum 2-4'!I9&gt;0,'BudgetSum 2-4'!J9&gt;0,'BudgetSum 2-4'!K9&gt;0),"OK","ERROR - ESTREV TAB IS BLANK. PLEASE INPUT AMOUNTS.")</f>
        <v>OK</v>
      </c>
      <c r="F50" s="666" t="str">
        <f t="shared" si="1"/>
        <v>OK</v>
      </c>
    </row>
    <row r="51" spans="1:6" ht="12.75" customHeight="1" x14ac:dyDescent="0.2">
      <c r="A51" s="651">
        <v>8</v>
      </c>
      <c r="B51" s="1830" t="s">
        <v>812</v>
      </c>
      <c r="C51" s="1831"/>
      <c r="F51" s="666">
        <f t="shared" si="1"/>
        <v>0</v>
      </c>
    </row>
    <row r="52" spans="1:6" x14ac:dyDescent="0.2">
      <c r="A52" s="561"/>
      <c r="B52" s="562" t="s">
        <v>1753</v>
      </c>
      <c r="C52" s="563" t="str">
        <f>IF(OR('BudgetSum 2-4'!C19&gt;0,'BudgetSum 2-4'!D19&gt;0,'BudgetSum 2-4'!E19&gt;0,'BudgetSum 2-4'!F19&gt;0,'BudgetSum 2-4'!G19&gt;0,'BudgetSum 2-4'!H19&gt;0,'BudgetSum 2-4'!I19&gt;0,'BudgetSum 2-4'!J19&gt;0,'BudgetSum 2-4'!K19&gt;0),"OK","ERROR - ESTEXP TAB IS BLANK. PLEASE INPUT AMOUNTS.")</f>
        <v>OK</v>
      </c>
      <c r="F52" s="666" t="str">
        <f t="shared" si="1"/>
        <v>OK</v>
      </c>
    </row>
    <row r="53" spans="1:6" x14ac:dyDescent="0.2">
      <c r="A53" s="651">
        <v>9</v>
      </c>
      <c r="B53" s="1830" t="s">
        <v>1755</v>
      </c>
      <c r="C53" s="1831"/>
      <c r="F53" s="666">
        <f t="shared" si="1"/>
        <v>0</v>
      </c>
    </row>
    <row r="54" spans="1:6" ht="12.75" customHeight="1" x14ac:dyDescent="0.2">
      <c r="A54" s="561"/>
      <c r="B54" s="562" t="s">
        <v>1756</v>
      </c>
      <c r="C54" s="563" t="str">
        <f>IF('Itemize 21'!G175='Itemize 21'!H175,"OK","ERROR - INPUT NOTE(S) ON ITEMIZATION 21 TAB")</f>
        <v>OK</v>
      </c>
      <c r="F54" s="666" t="str">
        <f t="shared" si="1"/>
        <v>OK</v>
      </c>
    </row>
    <row r="55" spans="1:6" x14ac:dyDescent="0.2">
      <c r="B55" s="570"/>
      <c r="C55" s="571"/>
      <c r="F55" s="666">
        <f>COUNTIFS(F10:F54,"OK")</f>
        <v>37</v>
      </c>
    </row>
    <row r="56" spans="1:6" ht="15.75" x14ac:dyDescent="0.2">
      <c r="B56" s="572" t="s">
        <v>368</v>
      </c>
      <c r="C56" s="571"/>
    </row>
  </sheetData>
  <sheetProtection algorithmName="SHA-512" hashValue="GhumthvXRqkCNfUmU9EFZ0iL8Pt86PKcYS0koJQ69s89pv+pbhNlyya/pbuBCPtmeWs9JlYR6A3lx0UOTDsEjw==" saltValue="vgHHZQT/oRMwkx3gp4TuQg==" spinCount="100000" sheet="1" objects="1" scenarios="1"/>
  <mergeCells count="11">
    <mergeCell ref="A1:C1"/>
    <mergeCell ref="A2:C2"/>
    <mergeCell ref="A3:C3"/>
    <mergeCell ref="A4:C4"/>
    <mergeCell ref="B25:C25"/>
    <mergeCell ref="B15:C15"/>
    <mergeCell ref="B49:C49"/>
    <mergeCell ref="B51:C51"/>
    <mergeCell ref="B53:C53"/>
    <mergeCell ref="B36:C36"/>
    <mergeCell ref="B46:C46"/>
  </mergeCells>
  <phoneticPr fontId="0" type="noConversion"/>
  <conditionalFormatting sqref="C8">
    <cfRule type="expression" dxfId="4" priority="2">
      <formula>C9="Deficit Reduction Plan complete"</formula>
    </cfRule>
    <cfRule type="cellIs" dxfId="3" priority="11" operator="equal">
      <formula>"Deficit Reduction Plan is not required"</formula>
    </cfRule>
  </conditionalFormatting>
  <conditionalFormatting sqref="C9">
    <cfRule type="cellIs" dxfId="2" priority="8" operator="equal">
      <formula>"Deficit Reduction Plan complete"</formula>
    </cfRule>
  </conditionalFormatting>
  <conditionalFormatting sqref="C6">
    <cfRule type="cellIs" dxfId="1" priority="9" operator="equal">
      <formula>"OK - You may now save and submit form"</formula>
    </cfRule>
  </conditionalFormatting>
  <conditionalFormatting sqref="C11:C54">
    <cfRule type="cellIs" dxfId="0" priority="1" operator="equal">
      <formula>"OK"</formula>
    </cfRule>
  </conditionalFormatting>
  <pageMargins left="0.59" right="0.37" top="1.41" bottom="0.47" header="0.39" footer="0.26"/>
  <pageSetup scale="70" firstPageNumber="30" orientation="portrait" useFirstPageNumber="1" verticalDpi="300" r:id="rId1"/>
  <headerFooter alignWithMargins="0">
    <oddHeader>&amp;L&amp;8Page &amp;P&amp;R&amp;8Page &amp;P</oddHeader>
    <oddFooter>&amp;L&amp;8&amp;Z&amp;F&amp;R&amp;8&amp;D</oddFooter>
  </headerFooter>
  <rowBreaks count="1" manualBreakCount="1">
    <brk id="52"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autoPageBreaks="0"/>
  </sheetPr>
  <dimension ref="A1:J8000"/>
  <sheetViews>
    <sheetView zoomScale="115" zoomScaleNormal="115" workbookViewId="0">
      <selection activeCell="A4" sqref="A4"/>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7.140625" style="5" customWidth="1"/>
    <col min="6" max="6" width="5.7109375" style="5" customWidth="1"/>
    <col min="7" max="7" width="15" style="5" bestFit="1" customWidth="1"/>
    <col min="8" max="8" width="10.140625" bestFit="1" customWidth="1"/>
  </cols>
  <sheetData>
    <row r="1" spans="1:10" ht="15.75" x14ac:dyDescent="0.25">
      <c r="A1" t="s">
        <v>75</v>
      </c>
      <c r="B1" s="14" t="str">
        <f>Cover!H13</f>
        <v>Evanston Twp HSD 202</v>
      </c>
      <c r="E1" s="679" t="s">
        <v>3037</v>
      </c>
      <c r="F1" s="679"/>
    </row>
    <row r="2" spans="1:10" ht="15.75" x14ac:dyDescent="0.25">
      <c r="A2" t="s">
        <v>76</v>
      </c>
      <c r="B2" s="14">
        <f>Cover!H14</f>
        <v>5016202017</v>
      </c>
      <c r="E2" s="677">
        <v>2023</v>
      </c>
      <c r="F2" s="677"/>
    </row>
    <row r="3" spans="1:10" x14ac:dyDescent="0.2">
      <c r="A3" t="s">
        <v>297</v>
      </c>
      <c r="B3" s="17" t="str">
        <f>Cover!B6</f>
        <v>Accrual</v>
      </c>
      <c r="E3" s="678" t="s">
        <v>3039</v>
      </c>
      <c r="F3"/>
      <c r="G3" s="678" t="s">
        <v>3038</v>
      </c>
      <c r="H3" s="678"/>
      <c r="J3">
        <f>IF(Cover!B2="x",1,0)</f>
        <v>1</v>
      </c>
    </row>
    <row r="4" spans="1:10" x14ac:dyDescent="0.2">
      <c r="A4" t="s">
        <v>771</v>
      </c>
      <c r="B4" s="14" t="str">
        <f>IF(J3=0,0,"x")</f>
        <v>x</v>
      </c>
      <c r="E4" s="694">
        <v>44834</v>
      </c>
      <c r="F4" s="693">
        <f>E2-1</f>
        <v>2022</v>
      </c>
      <c r="G4" s="694">
        <v>44865</v>
      </c>
      <c r="H4" s="693">
        <f>E2-1</f>
        <v>2022</v>
      </c>
      <c r="J4" s="14">
        <f>IF(Cover!B3="x",1,0)</f>
        <v>0</v>
      </c>
    </row>
    <row r="5" spans="1:10" x14ac:dyDescent="0.2">
      <c r="A5" t="s">
        <v>772</v>
      </c>
      <c r="B5" s="14">
        <f>IF(J4=0,0,"x")</f>
        <v>0</v>
      </c>
    </row>
    <row r="6" spans="1:10" ht="202.5" x14ac:dyDescent="0.2">
      <c r="A6" s="4">
        <v>1</v>
      </c>
      <c r="B6" s="14">
        <f>'BudgetSum 2-4'!C18</f>
        <v>0</v>
      </c>
      <c r="C6" s="5">
        <f>A6-B6</f>
        <v>1</v>
      </c>
      <c r="D6" s="7"/>
      <c r="E6" s="1660" t="s">
        <v>3288</v>
      </c>
    </row>
    <row r="7" spans="1:10" x14ac:dyDescent="0.2">
      <c r="A7" s="4">
        <v>2</v>
      </c>
      <c r="B7" s="14">
        <f>'BudgetSum 2-4'!D18</f>
        <v>0</v>
      </c>
      <c r="C7" s="5">
        <f t="shared" ref="C7:C70" si="0">A7-B7</f>
        <v>2</v>
      </c>
      <c r="D7" s="7"/>
      <c r="E7" s="1600" t="s">
        <v>3102</v>
      </c>
      <c r="F7" s="1600"/>
      <c r="G7" s="1600"/>
    </row>
    <row r="8" spans="1:10" x14ac:dyDescent="0.2">
      <c r="A8" s="4">
        <v>3</v>
      </c>
      <c r="B8" s="14">
        <f>'BudgetSum 2-4'!E18</f>
        <v>0</v>
      </c>
      <c r="C8" s="5">
        <f t="shared" si="0"/>
        <v>3</v>
      </c>
      <c r="D8" s="7"/>
      <c r="E8" s="5" t="s">
        <v>3104</v>
      </c>
    </row>
    <row r="9" spans="1:10" x14ac:dyDescent="0.2">
      <c r="A9">
        <v>4</v>
      </c>
      <c r="B9" s="14">
        <f>'BudgetSum 2-4'!F18</f>
        <v>0</v>
      </c>
      <c r="C9" s="5">
        <f t="shared" si="0"/>
        <v>4</v>
      </c>
      <c r="D9" s="6"/>
      <c r="E9" s="1600" t="s">
        <v>3101</v>
      </c>
    </row>
    <row r="10" spans="1:10" x14ac:dyDescent="0.2">
      <c r="A10">
        <v>5</v>
      </c>
      <c r="B10" s="14">
        <f>'BudgetSum 2-4'!G18</f>
        <v>0</v>
      </c>
      <c r="C10" s="5">
        <f t="shared" si="0"/>
        <v>5</v>
      </c>
      <c r="D10" s="6"/>
      <c r="E10" s="5" t="s">
        <v>3104</v>
      </c>
    </row>
    <row r="11" spans="1:10" x14ac:dyDescent="0.2">
      <c r="A11" s="4">
        <v>6</v>
      </c>
      <c r="B11" s="14">
        <f>'BudgetSum 2-4'!H18</f>
        <v>0</v>
      </c>
      <c r="C11" s="5">
        <f t="shared" si="0"/>
        <v>6</v>
      </c>
      <c r="D11" s="7"/>
      <c r="E11" s="5" t="s">
        <v>3105</v>
      </c>
    </row>
    <row r="12" spans="1:10" x14ac:dyDescent="0.2">
      <c r="A12" s="4">
        <v>7</v>
      </c>
      <c r="B12" s="14">
        <f>'BudgetSum 2-4'!K18</f>
        <v>0</v>
      </c>
      <c r="C12" s="5">
        <f t="shared" si="0"/>
        <v>7</v>
      </c>
      <c r="D12" s="7"/>
      <c r="E12" s="5" t="s">
        <v>3106</v>
      </c>
    </row>
    <row r="13" spans="1:10" x14ac:dyDescent="0.2">
      <c r="A13">
        <v>8</v>
      </c>
      <c r="B13" s="15">
        <f>'CashSum 5'!C4</f>
        <v>77744000</v>
      </c>
      <c r="C13" s="5">
        <f t="shared" si="0"/>
        <v>-77743992</v>
      </c>
      <c r="D13" s="6"/>
      <c r="E13" s="5" t="s">
        <v>3107</v>
      </c>
    </row>
    <row r="14" spans="1:10" x14ac:dyDescent="0.2">
      <c r="A14">
        <v>9</v>
      </c>
      <c r="B14" s="15">
        <f>'CashSum 5'!C7</f>
        <v>0</v>
      </c>
      <c r="C14" s="5">
        <f t="shared" si="0"/>
        <v>9</v>
      </c>
      <c r="D14" s="6"/>
      <c r="E14" s="5" t="s">
        <v>3108</v>
      </c>
    </row>
    <row r="15" spans="1:10" x14ac:dyDescent="0.2">
      <c r="A15" s="4">
        <v>10</v>
      </c>
      <c r="B15" s="15">
        <f>'CashSum 5'!C10</f>
        <v>0</v>
      </c>
      <c r="C15" s="5">
        <f t="shared" si="0"/>
        <v>10</v>
      </c>
      <c r="D15" s="7"/>
      <c r="E15" s="5" t="s">
        <v>3109</v>
      </c>
    </row>
    <row r="16" spans="1:10" x14ac:dyDescent="0.2">
      <c r="A16">
        <v>11</v>
      </c>
      <c r="B16" s="15">
        <f>'CashSum 5'!C11</f>
        <v>77744000</v>
      </c>
      <c r="C16" s="5">
        <f t="shared" si="0"/>
        <v>-77743989</v>
      </c>
      <c r="D16" s="6"/>
      <c r="E16" s="1600" t="s">
        <v>3095</v>
      </c>
    </row>
    <row r="17" spans="1:5" x14ac:dyDescent="0.2">
      <c r="A17">
        <v>12</v>
      </c>
      <c r="B17" s="15">
        <f>'CashSum 5'!C12</f>
        <v>110682294</v>
      </c>
      <c r="C17" s="5">
        <f t="shared" si="0"/>
        <v>-110682282</v>
      </c>
      <c r="D17" s="6"/>
      <c r="E17" s="5" t="s">
        <v>3097</v>
      </c>
    </row>
    <row r="18" spans="1:5" x14ac:dyDescent="0.2">
      <c r="A18" s="4">
        <v>13</v>
      </c>
      <c r="B18" s="15">
        <f>'CashSum 5'!C13</f>
        <v>79244000</v>
      </c>
      <c r="C18" s="5">
        <f t="shared" si="0"/>
        <v>-79243987</v>
      </c>
      <c r="D18" s="7"/>
      <c r="E18" s="5" t="s">
        <v>3098</v>
      </c>
    </row>
    <row r="19" spans="1:5" x14ac:dyDescent="0.2">
      <c r="A19" s="4">
        <v>14</v>
      </c>
      <c r="B19" s="15">
        <f>'CashSum 5'!C15</f>
        <v>0</v>
      </c>
      <c r="C19" s="5">
        <f t="shared" si="0"/>
        <v>14</v>
      </c>
      <c r="D19" s="7"/>
      <c r="E19" s="5" t="s">
        <v>3099</v>
      </c>
    </row>
    <row r="20" spans="1:5" x14ac:dyDescent="0.2">
      <c r="A20">
        <v>15</v>
      </c>
      <c r="B20" s="15">
        <f>'CashSum 5'!C16</f>
        <v>0</v>
      </c>
      <c r="C20" s="5">
        <f t="shared" si="0"/>
        <v>15</v>
      </c>
      <c r="D20" s="6"/>
      <c r="E20" s="5" t="s">
        <v>3100</v>
      </c>
    </row>
    <row r="21" spans="1:5" x14ac:dyDescent="0.2">
      <c r="A21" s="3">
        <v>16</v>
      </c>
      <c r="D21" s="6" t="s">
        <v>298</v>
      </c>
      <c r="E21" s="1600" t="s">
        <v>3118</v>
      </c>
    </row>
    <row r="22" spans="1:5" x14ac:dyDescent="0.2">
      <c r="A22" s="4">
        <v>17</v>
      </c>
      <c r="B22" s="15">
        <f>'CashSum 5'!C17</f>
        <v>0</v>
      </c>
      <c r="C22" s="5">
        <f t="shared" si="0"/>
        <v>17</v>
      </c>
      <c r="D22" s="7"/>
      <c r="E22" s="5" t="s">
        <v>3119</v>
      </c>
    </row>
    <row r="23" spans="1:5" x14ac:dyDescent="0.2">
      <c r="A23" s="4">
        <v>18</v>
      </c>
      <c r="B23" s="15">
        <f>'CashSum 5'!C8</f>
        <v>0</v>
      </c>
      <c r="C23" s="5">
        <f t="shared" si="0"/>
        <v>18</v>
      </c>
      <c r="D23" s="6"/>
    </row>
    <row r="24" spans="1:5" x14ac:dyDescent="0.2">
      <c r="A24" s="3">
        <v>19</v>
      </c>
      <c r="D24" s="6" t="s">
        <v>298</v>
      </c>
    </row>
    <row r="25" spans="1:5" x14ac:dyDescent="0.2">
      <c r="A25" s="3">
        <v>20</v>
      </c>
      <c r="D25" s="6" t="s">
        <v>298</v>
      </c>
    </row>
    <row r="26" spans="1:5" x14ac:dyDescent="0.2">
      <c r="A26" s="4">
        <v>21</v>
      </c>
      <c r="B26" s="15">
        <f>'CashSum 5'!C18</f>
        <v>0</v>
      </c>
      <c r="C26" s="5">
        <f t="shared" si="0"/>
        <v>21</v>
      </c>
      <c r="D26" s="7"/>
    </row>
    <row r="27" spans="1:5" x14ac:dyDescent="0.2">
      <c r="A27">
        <v>22</v>
      </c>
      <c r="B27" s="15">
        <f>'CashSum 5'!C19</f>
        <v>0</v>
      </c>
      <c r="C27" s="5">
        <f t="shared" si="0"/>
        <v>22</v>
      </c>
      <c r="D27" s="6"/>
    </row>
    <row r="28" spans="1:5" x14ac:dyDescent="0.2">
      <c r="A28">
        <v>23</v>
      </c>
      <c r="B28" s="15">
        <f>'CashSum 5'!C20</f>
        <v>79244000</v>
      </c>
      <c r="C28" s="5">
        <f t="shared" si="0"/>
        <v>-79243977</v>
      </c>
      <c r="D28" s="6"/>
    </row>
    <row r="29" spans="1:5" x14ac:dyDescent="0.2">
      <c r="A29">
        <v>24</v>
      </c>
      <c r="B29" s="15">
        <f>'CashSum 5'!C21</f>
        <v>31438294</v>
      </c>
      <c r="C29" s="5">
        <f t="shared" si="0"/>
        <v>-31438270</v>
      </c>
      <c r="D29" s="6"/>
    </row>
    <row r="30" spans="1:5" x14ac:dyDescent="0.2">
      <c r="A30">
        <v>25</v>
      </c>
      <c r="B30" s="15">
        <f>'CashSum 5'!D4</f>
        <v>8220000</v>
      </c>
      <c r="C30" s="5">
        <f t="shared" si="0"/>
        <v>-8219975</v>
      </c>
      <c r="D30" s="6"/>
    </row>
    <row r="31" spans="1:5" x14ac:dyDescent="0.2">
      <c r="A31" s="4">
        <v>26</v>
      </c>
      <c r="B31" s="15">
        <f>'CashSum 5'!D7</f>
        <v>0</v>
      </c>
      <c r="C31" s="5">
        <f t="shared" si="0"/>
        <v>26</v>
      </c>
      <c r="D31" s="7"/>
    </row>
    <row r="32" spans="1:5" x14ac:dyDescent="0.2">
      <c r="A32">
        <v>27</v>
      </c>
      <c r="B32" s="15">
        <f>'CashSum 5'!D10</f>
        <v>0</v>
      </c>
      <c r="C32" s="5">
        <f t="shared" si="0"/>
        <v>27</v>
      </c>
      <c r="D32" s="6"/>
    </row>
    <row r="33" spans="1:4" x14ac:dyDescent="0.2">
      <c r="A33">
        <v>28</v>
      </c>
      <c r="B33" s="15">
        <f>'CashSum 5'!D11</f>
        <v>8220000</v>
      </c>
      <c r="C33" s="5">
        <f t="shared" si="0"/>
        <v>-8219972</v>
      </c>
      <c r="D33" s="6"/>
    </row>
    <row r="34" spans="1:4" x14ac:dyDescent="0.2">
      <c r="A34" s="4">
        <v>29</v>
      </c>
      <c r="B34" s="15">
        <f>'CashSum 5'!D12</f>
        <v>11579903</v>
      </c>
      <c r="C34" s="5">
        <f t="shared" si="0"/>
        <v>-11579874</v>
      </c>
      <c r="D34" s="7"/>
    </row>
    <row r="35" spans="1:4" x14ac:dyDescent="0.2">
      <c r="A35">
        <v>30</v>
      </c>
      <c r="B35" s="15">
        <f>'CashSum 5'!D13</f>
        <v>8220000</v>
      </c>
      <c r="C35" s="5">
        <f t="shared" si="0"/>
        <v>-8219970</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298</v>
      </c>
    </row>
    <row r="39" spans="1:4" x14ac:dyDescent="0.2">
      <c r="A39" s="4">
        <v>34</v>
      </c>
      <c r="B39" s="15">
        <f>'CashSum 5'!D17</f>
        <v>0</v>
      </c>
      <c r="C39" s="5">
        <f t="shared" si="0"/>
        <v>34</v>
      </c>
      <c r="D39" s="7"/>
    </row>
    <row r="40" spans="1:4" x14ac:dyDescent="0.2">
      <c r="A40" s="3">
        <v>35</v>
      </c>
      <c r="D40" s="6" t="s">
        <v>298</v>
      </c>
    </row>
    <row r="41" spans="1:4" x14ac:dyDescent="0.2">
      <c r="A41" s="3">
        <v>36</v>
      </c>
      <c r="D41" s="6" t="s">
        <v>298</v>
      </c>
    </row>
    <row r="42" spans="1:4" x14ac:dyDescent="0.2">
      <c r="A42" s="3">
        <v>37</v>
      </c>
      <c r="D42" s="6" t="s">
        <v>298</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8220000</v>
      </c>
      <c r="C45" s="5">
        <f t="shared" si="0"/>
        <v>-8219960</v>
      </c>
      <c r="D45" s="6"/>
    </row>
    <row r="46" spans="1:4" x14ac:dyDescent="0.2">
      <c r="A46">
        <v>41</v>
      </c>
      <c r="B46" s="15">
        <f>'CashSum 5'!D21</f>
        <v>3359903</v>
      </c>
      <c r="C46" s="5">
        <f t="shared" si="0"/>
        <v>-3359862</v>
      </c>
      <c r="D46" s="6"/>
    </row>
    <row r="47" spans="1:4" x14ac:dyDescent="0.2">
      <c r="A47" s="4">
        <v>42</v>
      </c>
      <c r="B47" s="15">
        <f>'CashSum 5'!E4</f>
        <v>4219000</v>
      </c>
      <c r="C47" s="5">
        <f t="shared" si="0"/>
        <v>-4218958</v>
      </c>
      <c r="D47" s="7"/>
    </row>
    <row r="48" spans="1:4" x14ac:dyDescent="0.2">
      <c r="A48">
        <v>43</v>
      </c>
      <c r="B48" s="15">
        <f>'CashSum 5'!E10</f>
        <v>0</v>
      </c>
      <c r="C48" s="5">
        <f t="shared" si="0"/>
        <v>43</v>
      </c>
      <c r="D48" s="6"/>
    </row>
    <row r="49" spans="1:4" x14ac:dyDescent="0.2">
      <c r="A49">
        <v>44</v>
      </c>
      <c r="B49" s="15">
        <f>'CashSum 5'!E11</f>
        <v>4219000</v>
      </c>
      <c r="C49" s="5">
        <f t="shared" si="0"/>
        <v>-4218956</v>
      </c>
      <c r="D49" s="6"/>
    </row>
    <row r="50" spans="1:4" x14ac:dyDescent="0.2">
      <c r="A50" s="4">
        <v>45</v>
      </c>
      <c r="B50" s="15">
        <f>'CashSum 5'!E12</f>
        <v>4500114</v>
      </c>
      <c r="C50" s="5">
        <f t="shared" si="0"/>
        <v>-4500069</v>
      </c>
      <c r="D50" s="7"/>
    </row>
    <row r="51" spans="1:4" x14ac:dyDescent="0.2">
      <c r="A51" s="4">
        <v>46</v>
      </c>
      <c r="B51" s="15">
        <f>'CashSum 5'!E13</f>
        <v>3619000</v>
      </c>
      <c r="C51" s="5">
        <f t="shared" si="0"/>
        <v>-3618954</v>
      </c>
      <c r="D51" s="7"/>
    </row>
    <row r="52" spans="1:4" x14ac:dyDescent="0.2">
      <c r="A52">
        <v>47</v>
      </c>
      <c r="B52" s="15">
        <f>'CashSum 5'!E16</f>
        <v>0</v>
      </c>
      <c r="C52" s="5">
        <f t="shared" si="0"/>
        <v>47</v>
      </c>
      <c r="D52" s="6"/>
    </row>
    <row r="53" spans="1:4" x14ac:dyDescent="0.2">
      <c r="A53" s="3">
        <v>48</v>
      </c>
      <c r="D53" s="6" t="s">
        <v>298</v>
      </c>
    </row>
    <row r="54" spans="1:4" x14ac:dyDescent="0.2">
      <c r="A54" s="3">
        <v>49</v>
      </c>
      <c r="D54" s="6" t="s">
        <v>298</v>
      </c>
    </row>
    <row r="55" spans="1:4" x14ac:dyDescent="0.2">
      <c r="A55">
        <v>50</v>
      </c>
      <c r="B55" s="15">
        <f>'CashSum 5'!D8</f>
        <v>0</v>
      </c>
      <c r="C55" s="5">
        <f t="shared" si="0"/>
        <v>50</v>
      </c>
      <c r="D55" s="6"/>
    </row>
    <row r="56" spans="1:4" x14ac:dyDescent="0.2">
      <c r="A56" s="3">
        <v>51</v>
      </c>
      <c r="D56" s="6" t="s">
        <v>299</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3619000</v>
      </c>
      <c r="C59" s="5">
        <f t="shared" si="0"/>
        <v>-3618946</v>
      </c>
      <c r="D59" s="6"/>
    </row>
    <row r="60" spans="1:4" x14ac:dyDescent="0.2">
      <c r="A60">
        <v>55</v>
      </c>
      <c r="B60" s="15">
        <f>'CashSum 5'!E21</f>
        <v>881114</v>
      </c>
      <c r="C60" s="5">
        <f t="shared" si="0"/>
        <v>-881059</v>
      </c>
      <c r="D60" s="6"/>
    </row>
    <row r="61" spans="1:4" x14ac:dyDescent="0.2">
      <c r="A61">
        <v>56</v>
      </c>
      <c r="B61" s="15">
        <f>'CashSum 5'!F4</f>
        <v>1250000</v>
      </c>
      <c r="C61" s="5">
        <f t="shared" si="0"/>
        <v>-1249944</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1250000</v>
      </c>
      <c r="C64" s="5">
        <f t="shared" si="0"/>
        <v>-1249941</v>
      </c>
      <c r="D64" s="6"/>
    </row>
    <row r="65" spans="1:4" x14ac:dyDescent="0.2">
      <c r="A65" s="4">
        <v>60</v>
      </c>
      <c r="B65" s="15">
        <f>'CashSum 5'!F12</f>
        <v>4226087</v>
      </c>
      <c r="C65" s="5">
        <f t="shared" si="0"/>
        <v>-4226027</v>
      </c>
      <c r="D65" s="7"/>
    </row>
    <row r="66" spans="1:4" x14ac:dyDescent="0.2">
      <c r="A66">
        <v>61</v>
      </c>
      <c r="B66" s="15">
        <f>'CashSum 5'!F13</f>
        <v>1250000</v>
      </c>
      <c r="C66" s="5">
        <f t="shared" si="0"/>
        <v>-1249939</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298</v>
      </c>
    </row>
    <row r="70" spans="1:4" x14ac:dyDescent="0.2">
      <c r="A70">
        <v>65</v>
      </c>
      <c r="B70" s="15">
        <f>'CashSum 5'!F17</f>
        <v>0</v>
      </c>
      <c r="C70" s="5">
        <f t="shared" si="0"/>
        <v>65</v>
      </c>
      <c r="D70" s="6"/>
    </row>
    <row r="71" spans="1:4" x14ac:dyDescent="0.2">
      <c r="A71" s="3">
        <v>66</v>
      </c>
      <c r="D71" s="6" t="s">
        <v>298</v>
      </c>
    </row>
    <row r="72" spans="1:4" x14ac:dyDescent="0.2">
      <c r="A72" s="3">
        <v>67</v>
      </c>
      <c r="D72" s="6" t="s">
        <v>298</v>
      </c>
    </row>
    <row r="73" spans="1:4" x14ac:dyDescent="0.2">
      <c r="A73" s="3">
        <v>68</v>
      </c>
      <c r="D73" s="6" t="s">
        <v>298</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1250000</v>
      </c>
      <c r="C76" s="5">
        <f t="shared" si="1"/>
        <v>-1249929</v>
      </c>
      <c r="D76" s="6"/>
    </row>
    <row r="77" spans="1:4" x14ac:dyDescent="0.2">
      <c r="A77">
        <v>72</v>
      </c>
      <c r="B77" s="15">
        <f>'CashSum 5'!F21</f>
        <v>2976087</v>
      </c>
      <c r="C77" s="5">
        <f t="shared" si="1"/>
        <v>-2976015</v>
      </c>
      <c r="D77" s="6"/>
    </row>
    <row r="78" spans="1:4" x14ac:dyDescent="0.2">
      <c r="A78">
        <v>73</v>
      </c>
      <c r="B78" s="15">
        <f>'CashSum 5'!G4</f>
        <v>3400000</v>
      </c>
      <c r="C78" s="5">
        <f t="shared" si="1"/>
        <v>-3399927</v>
      </c>
      <c r="D78" s="6"/>
    </row>
    <row r="79" spans="1:4" x14ac:dyDescent="0.2">
      <c r="A79">
        <v>74</v>
      </c>
      <c r="B79" s="15">
        <f>'CashSum 5'!G10</f>
        <v>0</v>
      </c>
      <c r="C79" s="5">
        <f t="shared" si="1"/>
        <v>74</v>
      </c>
      <c r="D79" s="6"/>
    </row>
    <row r="80" spans="1:4" x14ac:dyDescent="0.2">
      <c r="A80" s="4">
        <v>75</v>
      </c>
      <c r="B80" s="15">
        <f>'CashSum 5'!G11</f>
        <v>3400000</v>
      </c>
      <c r="C80" s="5">
        <f t="shared" si="1"/>
        <v>-3399925</v>
      </c>
      <c r="D80" s="7"/>
    </row>
    <row r="81" spans="1:4" x14ac:dyDescent="0.2">
      <c r="A81" s="4">
        <v>76</v>
      </c>
      <c r="B81" s="15">
        <f>'CashSum 5'!G12</f>
        <v>4761568</v>
      </c>
      <c r="C81" s="5">
        <f t="shared" si="1"/>
        <v>-4761492</v>
      </c>
      <c r="D81" s="7"/>
    </row>
    <row r="82" spans="1:4" x14ac:dyDescent="0.2">
      <c r="A82" s="4">
        <v>77</v>
      </c>
      <c r="B82" s="15">
        <f>'CashSum 5'!G13</f>
        <v>3400000</v>
      </c>
      <c r="C82" s="5">
        <f t="shared" si="1"/>
        <v>-3399923</v>
      </c>
      <c r="D82" s="7"/>
    </row>
    <row r="83" spans="1:4" x14ac:dyDescent="0.2">
      <c r="A83">
        <v>78</v>
      </c>
      <c r="B83" s="15">
        <f>'CashSum 5'!G16</f>
        <v>0</v>
      </c>
      <c r="C83" s="5">
        <f t="shared" si="1"/>
        <v>78</v>
      </c>
      <c r="D83" s="6"/>
    </row>
    <row r="84" spans="1:4" x14ac:dyDescent="0.2">
      <c r="A84" s="3">
        <v>79</v>
      </c>
      <c r="D84" s="6" t="s">
        <v>298</v>
      </c>
    </row>
    <row r="85" spans="1:4" x14ac:dyDescent="0.2">
      <c r="A85">
        <v>80</v>
      </c>
      <c r="B85" s="15">
        <f>'CashSum 5'!G17</f>
        <v>0</v>
      </c>
      <c r="C85" s="5">
        <f t="shared" si="1"/>
        <v>80</v>
      </c>
      <c r="D85" s="6"/>
    </row>
    <row r="86" spans="1:4" x14ac:dyDescent="0.2">
      <c r="A86" s="3">
        <v>81</v>
      </c>
      <c r="D86" s="7"/>
    </row>
    <row r="87" spans="1:4" x14ac:dyDescent="0.2">
      <c r="A87" s="3">
        <v>82</v>
      </c>
      <c r="D87" s="6" t="s">
        <v>298</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3400000</v>
      </c>
      <c r="C90" s="5">
        <f t="shared" si="1"/>
        <v>-3399915</v>
      </c>
      <c r="D90" s="6"/>
    </row>
    <row r="91" spans="1:4" x14ac:dyDescent="0.2">
      <c r="A91" s="4">
        <v>86</v>
      </c>
      <c r="B91" s="15">
        <f>'CashSum 5'!G21</f>
        <v>1361568</v>
      </c>
      <c r="C91" s="5">
        <f t="shared" si="1"/>
        <v>-1361482</v>
      </c>
      <c r="D91" s="7"/>
    </row>
    <row r="92" spans="1:4" x14ac:dyDescent="0.2">
      <c r="A92" s="4">
        <v>87</v>
      </c>
      <c r="B92" s="15">
        <f>'CashSum 5'!H4</f>
        <v>3680000</v>
      </c>
      <c r="C92" s="5">
        <f t="shared" si="1"/>
        <v>-3679913</v>
      </c>
      <c r="D92" s="7"/>
    </row>
    <row r="93" spans="1:4" x14ac:dyDescent="0.2">
      <c r="A93">
        <v>88</v>
      </c>
      <c r="B93" s="15">
        <f>'CashSum 5'!H10</f>
        <v>0</v>
      </c>
      <c r="C93" s="5">
        <f t="shared" si="1"/>
        <v>88</v>
      </c>
      <c r="D93" s="6"/>
    </row>
    <row r="94" spans="1:4" x14ac:dyDescent="0.2">
      <c r="A94">
        <v>89</v>
      </c>
      <c r="B94" s="15">
        <f>'CashSum 5'!H11</f>
        <v>3680000</v>
      </c>
      <c r="C94" s="5">
        <f t="shared" si="1"/>
        <v>-3679911</v>
      </c>
      <c r="D94" s="6"/>
    </row>
    <row r="95" spans="1:4" x14ac:dyDescent="0.2">
      <c r="A95" s="4">
        <v>90</v>
      </c>
      <c r="B95" s="15">
        <f>'CashSum 5'!H12</f>
        <v>6526831</v>
      </c>
      <c r="C95" s="5">
        <f t="shared" si="1"/>
        <v>-6526741</v>
      </c>
      <c r="D95" s="7"/>
    </row>
    <row r="96" spans="1:4" x14ac:dyDescent="0.2">
      <c r="A96">
        <v>91</v>
      </c>
      <c r="B96" s="15">
        <f>'CashSum 5'!H13</f>
        <v>3880000</v>
      </c>
      <c r="C96" s="5">
        <f t="shared" si="1"/>
        <v>-3879909</v>
      </c>
      <c r="D96" s="6"/>
    </row>
    <row r="97" spans="1:4" x14ac:dyDescent="0.2">
      <c r="A97">
        <v>92</v>
      </c>
      <c r="B97" s="15">
        <f>'CashSum 5'!H16</f>
        <v>0</v>
      </c>
      <c r="C97" s="5">
        <f t="shared" si="1"/>
        <v>92</v>
      </c>
      <c r="D97" s="6"/>
    </row>
    <row r="98" spans="1:4" x14ac:dyDescent="0.2">
      <c r="A98" s="3">
        <v>93</v>
      </c>
      <c r="D98" s="6" t="s">
        <v>298</v>
      </c>
    </row>
    <row r="99" spans="1:4" x14ac:dyDescent="0.2">
      <c r="A99" s="4">
        <v>94</v>
      </c>
      <c r="B99" s="15">
        <f>'CashSum 5'!H19</f>
        <v>0</v>
      </c>
      <c r="C99" s="5">
        <f t="shared" si="1"/>
        <v>94</v>
      </c>
      <c r="D99" s="7"/>
    </row>
    <row r="100" spans="1:4" x14ac:dyDescent="0.2">
      <c r="A100">
        <v>95</v>
      </c>
      <c r="B100" s="15">
        <f>'CashSum 5'!H20</f>
        <v>3880000</v>
      </c>
      <c r="C100" s="5">
        <f t="shared" si="1"/>
        <v>-3879905</v>
      </c>
      <c r="D100" s="6"/>
    </row>
    <row r="101" spans="1:4" x14ac:dyDescent="0.2">
      <c r="A101">
        <v>96</v>
      </c>
      <c r="B101" s="15">
        <f>'CashSum 5'!H21</f>
        <v>2646831</v>
      </c>
      <c r="C101" s="5">
        <f t="shared" si="1"/>
        <v>-2646735</v>
      </c>
      <c r="D101" s="6"/>
    </row>
    <row r="102" spans="1:4" x14ac:dyDescent="0.2">
      <c r="A102" s="4">
        <v>97</v>
      </c>
      <c r="B102" s="15">
        <f>'CashSum 5'!I4</f>
        <v>0</v>
      </c>
      <c r="C102" s="5">
        <f t="shared" si="1"/>
        <v>97</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0</v>
      </c>
      <c r="C105" s="5">
        <f t="shared" si="1"/>
        <v>100</v>
      </c>
      <c r="D105" s="7"/>
    </row>
    <row r="106" spans="1:4" x14ac:dyDescent="0.2">
      <c r="A106" s="4">
        <v>101</v>
      </c>
      <c r="B106" s="15">
        <f>'CashSum 5'!I12</f>
        <v>4297812</v>
      </c>
      <c r="C106" s="5">
        <f t="shared" si="1"/>
        <v>-4297711</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298</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4297812</v>
      </c>
      <c r="C112" s="5">
        <f t="shared" si="1"/>
        <v>-4297705</v>
      </c>
      <c r="D112" s="6"/>
    </row>
    <row r="113" spans="1:4" x14ac:dyDescent="0.2">
      <c r="A113" s="3">
        <v>108</v>
      </c>
      <c r="D113" s="6" t="s">
        <v>298</v>
      </c>
    </row>
    <row r="114" spans="1:4" x14ac:dyDescent="0.2">
      <c r="A114" s="3">
        <v>109</v>
      </c>
      <c r="D114" s="6" t="s">
        <v>298</v>
      </c>
    </row>
    <row r="115" spans="1:4" x14ac:dyDescent="0.2">
      <c r="A115" s="3">
        <v>110</v>
      </c>
      <c r="D115" s="6" t="s">
        <v>298</v>
      </c>
    </row>
    <row r="116" spans="1:4" x14ac:dyDescent="0.2">
      <c r="A116" s="3">
        <v>111</v>
      </c>
      <c r="D116" s="6" t="s">
        <v>298</v>
      </c>
    </row>
    <row r="117" spans="1:4" x14ac:dyDescent="0.2">
      <c r="A117" s="3">
        <v>112</v>
      </c>
      <c r="D117" s="6" t="s">
        <v>298</v>
      </c>
    </row>
    <row r="118" spans="1:4" x14ac:dyDescent="0.2">
      <c r="A118" s="3">
        <v>113</v>
      </c>
      <c r="D118" s="6" t="s">
        <v>298</v>
      </c>
    </row>
    <row r="119" spans="1:4" x14ac:dyDescent="0.2">
      <c r="A119" s="3">
        <v>114</v>
      </c>
      <c r="D119" s="6" t="s">
        <v>298</v>
      </c>
    </row>
    <row r="120" spans="1:4" x14ac:dyDescent="0.2">
      <c r="A120" s="3">
        <v>115</v>
      </c>
      <c r="D120" s="6" t="s">
        <v>298</v>
      </c>
    </row>
    <row r="121" spans="1:4" x14ac:dyDescent="0.2">
      <c r="A121" s="3">
        <v>116</v>
      </c>
      <c r="D121" s="6" t="s">
        <v>298</v>
      </c>
    </row>
    <row r="122" spans="1:4" x14ac:dyDescent="0.2">
      <c r="A122" s="3">
        <v>117</v>
      </c>
      <c r="D122" s="6" t="s">
        <v>298</v>
      </c>
    </row>
    <row r="123" spans="1:4" x14ac:dyDescent="0.2">
      <c r="A123" s="3">
        <v>118</v>
      </c>
      <c r="D123" s="6" t="s">
        <v>298</v>
      </c>
    </row>
    <row r="124" spans="1:4" x14ac:dyDescent="0.2">
      <c r="A124" s="3">
        <v>119</v>
      </c>
      <c r="D124" s="6" t="s">
        <v>298</v>
      </c>
    </row>
    <row r="125" spans="1:4" x14ac:dyDescent="0.2">
      <c r="A125" s="4">
        <v>120</v>
      </c>
      <c r="B125" s="15">
        <f>'CashSum 5'!K4</f>
        <v>0</v>
      </c>
      <c r="C125" s="5">
        <f t="shared" si="1"/>
        <v>120</v>
      </c>
      <c r="D125" s="6"/>
    </row>
    <row r="126" spans="1:4" x14ac:dyDescent="0.2">
      <c r="A126">
        <v>121</v>
      </c>
      <c r="B126" s="15">
        <f>'CashSum 5'!K10</f>
        <v>0</v>
      </c>
      <c r="C126" s="5">
        <f t="shared" si="1"/>
        <v>121</v>
      </c>
      <c r="D126" s="6"/>
    </row>
    <row r="127" spans="1:4" x14ac:dyDescent="0.2">
      <c r="A127">
        <v>122</v>
      </c>
      <c r="B127" s="15">
        <f>'CashSum 5'!K11</f>
        <v>0</v>
      </c>
      <c r="C127" s="5">
        <f t="shared" si="1"/>
        <v>122</v>
      </c>
      <c r="D127" s="6"/>
    </row>
    <row r="128" spans="1:4" x14ac:dyDescent="0.2">
      <c r="A128">
        <v>123</v>
      </c>
      <c r="B128" s="15">
        <f>'CashSum 5'!K12</f>
        <v>0</v>
      </c>
      <c r="C128" s="5">
        <f t="shared" si="1"/>
        <v>123</v>
      </c>
      <c r="D128" s="6"/>
    </row>
    <row r="129" spans="1:4" x14ac:dyDescent="0.2">
      <c r="A129">
        <v>124</v>
      </c>
      <c r="B129" s="15">
        <f>'CashSum 5'!K13</f>
        <v>0</v>
      </c>
      <c r="C129" s="5">
        <f t="shared" si="1"/>
        <v>124</v>
      </c>
      <c r="D129" s="6"/>
    </row>
    <row r="130" spans="1:4" x14ac:dyDescent="0.2">
      <c r="A130">
        <v>125</v>
      </c>
      <c r="B130" s="15">
        <f>'CashSum 5'!K16</f>
        <v>0</v>
      </c>
      <c r="C130" s="5">
        <f t="shared" si="1"/>
        <v>125</v>
      </c>
      <c r="D130" s="6"/>
    </row>
    <row r="131" spans="1:4" x14ac:dyDescent="0.2">
      <c r="A131" s="3">
        <v>126</v>
      </c>
      <c r="D131" s="6" t="s">
        <v>298</v>
      </c>
    </row>
    <row r="132" spans="1:4" x14ac:dyDescent="0.2">
      <c r="A132" s="4">
        <v>127</v>
      </c>
      <c r="B132" s="15">
        <f>'CashSum 5'!K17</f>
        <v>0</v>
      </c>
      <c r="C132" s="5">
        <f t="shared" si="1"/>
        <v>127</v>
      </c>
      <c r="D132" s="6"/>
    </row>
    <row r="133" spans="1:4" x14ac:dyDescent="0.2">
      <c r="A133" s="3">
        <v>128</v>
      </c>
      <c r="D133" s="6" t="s">
        <v>298</v>
      </c>
    </row>
    <row r="134" spans="1:4" x14ac:dyDescent="0.2">
      <c r="A134" s="3">
        <v>129</v>
      </c>
      <c r="D134" s="6" t="s">
        <v>298</v>
      </c>
    </row>
    <row r="135" spans="1:4" x14ac:dyDescent="0.2">
      <c r="A135" s="4">
        <v>130</v>
      </c>
      <c r="B135" s="15">
        <f>'CashSum 5'!K19</f>
        <v>0</v>
      </c>
      <c r="C135" s="5">
        <f t="shared" ref="C135:C159" si="2">A135-B135</f>
        <v>130</v>
      </c>
      <c r="D135" s="7"/>
    </row>
    <row r="136" spans="1:4" x14ac:dyDescent="0.2">
      <c r="A136" s="4">
        <v>131</v>
      </c>
      <c r="B136" s="15">
        <f>'CashSum 5'!K20</f>
        <v>0</v>
      </c>
      <c r="C136" s="5">
        <f t="shared" si="2"/>
        <v>131</v>
      </c>
      <c r="D136" s="7"/>
    </row>
    <row r="137" spans="1:4" x14ac:dyDescent="0.2">
      <c r="A137" s="4">
        <v>132</v>
      </c>
      <c r="B137" s="15">
        <f>'CashSum 5'!K21</f>
        <v>0</v>
      </c>
      <c r="C137" s="5">
        <f t="shared" si="2"/>
        <v>132</v>
      </c>
      <c r="D137" s="7"/>
    </row>
    <row r="138" spans="1:4" x14ac:dyDescent="0.2">
      <c r="A138" s="3">
        <v>133</v>
      </c>
      <c r="D138" s="6" t="s">
        <v>298</v>
      </c>
    </row>
    <row r="139" spans="1:4" x14ac:dyDescent="0.2">
      <c r="A139" s="3">
        <v>134</v>
      </c>
      <c r="D139" s="6" t="s">
        <v>298</v>
      </c>
    </row>
    <row r="140" spans="1:4" x14ac:dyDescent="0.2">
      <c r="A140" s="3">
        <v>135</v>
      </c>
      <c r="D140" s="6" t="s">
        <v>298</v>
      </c>
    </row>
    <row r="141" spans="1:4" x14ac:dyDescent="0.2">
      <c r="A141" s="3">
        <v>136</v>
      </c>
      <c r="D141" s="6" t="s">
        <v>298</v>
      </c>
    </row>
    <row r="142" spans="1:4" x14ac:dyDescent="0.2">
      <c r="A142" s="3">
        <v>137</v>
      </c>
      <c r="D142" s="6" t="s">
        <v>298</v>
      </c>
    </row>
    <row r="143" spans="1:4" x14ac:dyDescent="0.2">
      <c r="A143">
        <v>138</v>
      </c>
      <c r="B143" s="14">
        <f>'EstExp 12-20'!I115</f>
        <v>0</v>
      </c>
      <c r="C143" s="5">
        <f t="shared" si="2"/>
        <v>138</v>
      </c>
      <c r="D143" s="6"/>
    </row>
    <row r="144" spans="1:4" x14ac:dyDescent="0.2">
      <c r="A144" s="3">
        <v>139</v>
      </c>
      <c r="D144" s="6" t="s">
        <v>298</v>
      </c>
    </row>
    <row r="145" spans="1:4" x14ac:dyDescent="0.2">
      <c r="A145" s="3">
        <v>140</v>
      </c>
      <c r="D145" s="6" t="s">
        <v>298</v>
      </c>
    </row>
    <row r="146" spans="1:4" x14ac:dyDescent="0.2">
      <c r="A146">
        <v>141</v>
      </c>
      <c r="B146" s="14">
        <f>'EstExp 12-20'!L115</f>
        <v>0</v>
      </c>
      <c r="C146" s="5">
        <f t="shared" si="2"/>
        <v>141</v>
      </c>
      <c r="D146" s="6"/>
    </row>
    <row r="147" spans="1:4" x14ac:dyDescent="0.2">
      <c r="A147">
        <v>142</v>
      </c>
      <c r="B147" s="14">
        <f>'EstExp 12-20'!I154</f>
        <v>0</v>
      </c>
      <c r="C147" s="5">
        <f t="shared" si="2"/>
        <v>142</v>
      </c>
      <c r="D147" s="6"/>
    </row>
    <row r="148" spans="1:4" x14ac:dyDescent="0.2">
      <c r="A148" s="4">
        <v>143</v>
      </c>
      <c r="B148" s="14">
        <f>'EstExp 12-20'!L154</f>
        <v>0</v>
      </c>
      <c r="C148" s="5">
        <f t="shared" si="2"/>
        <v>143</v>
      </c>
      <c r="D148" s="7"/>
    </row>
    <row r="149" spans="1:4" x14ac:dyDescent="0.2">
      <c r="A149" s="4">
        <v>144</v>
      </c>
      <c r="B149" s="14">
        <f>'EstExp 12-20'!I177</f>
        <v>0</v>
      </c>
      <c r="C149" s="5">
        <f t="shared" si="2"/>
        <v>144</v>
      </c>
      <c r="D149" s="7"/>
    </row>
    <row r="150" spans="1:4" x14ac:dyDescent="0.2">
      <c r="A150">
        <v>145</v>
      </c>
      <c r="B150" s="14">
        <f>'EstExp 12-20'!L177</f>
        <v>0</v>
      </c>
      <c r="C150" s="5">
        <f t="shared" si="2"/>
        <v>145</v>
      </c>
      <c r="D150" s="6"/>
    </row>
    <row r="151" spans="1:4" x14ac:dyDescent="0.2">
      <c r="A151" s="4">
        <v>146</v>
      </c>
      <c r="B151" s="14">
        <f>'EstExp 12-20'!I213</f>
        <v>0</v>
      </c>
      <c r="C151" s="5">
        <f t="shared" si="2"/>
        <v>146</v>
      </c>
      <c r="D151" s="7"/>
    </row>
    <row r="152" spans="1:4" x14ac:dyDescent="0.2">
      <c r="A152">
        <v>147</v>
      </c>
      <c r="B152" s="14">
        <f>'EstExp 12-20'!L213</f>
        <v>0</v>
      </c>
      <c r="C152" s="5">
        <f t="shared" si="2"/>
        <v>147</v>
      </c>
      <c r="D152" s="6"/>
    </row>
    <row r="153" spans="1:4" x14ac:dyDescent="0.2">
      <c r="A153">
        <v>148</v>
      </c>
      <c r="B153" s="14">
        <f>'EstExp 12-20'!I291</f>
        <v>0</v>
      </c>
      <c r="C153" s="5">
        <f t="shared" si="2"/>
        <v>148</v>
      </c>
      <c r="D153" s="6"/>
    </row>
    <row r="154" spans="1:4" x14ac:dyDescent="0.2">
      <c r="A154" s="4">
        <v>149</v>
      </c>
      <c r="B154" s="14">
        <f>'EstExp 12-20'!L291</f>
        <v>0</v>
      </c>
      <c r="C154" s="5">
        <f t="shared" si="2"/>
        <v>149</v>
      </c>
      <c r="D154" s="6"/>
    </row>
    <row r="155" spans="1:4" x14ac:dyDescent="0.2">
      <c r="A155" s="4">
        <v>150</v>
      </c>
      <c r="B155" s="14">
        <f>'EstExp 12-20'!I308</f>
        <v>0</v>
      </c>
      <c r="C155" s="5">
        <f t="shared" si="2"/>
        <v>150</v>
      </c>
      <c r="D155" s="6"/>
    </row>
    <row r="156" spans="1:4" x14ac:dyDescent="0.2">
      <c r="A156">
        <v>151</v>
      </c>
      <c r="B156" s="14">
        <f>'EstExp 12-20'!L308</f>
        <v>0</v>
      </c>
      <c r="C156" s="5">
        <f t="shared" si="2"/>
        <v>151</v>
      </c>
      <c r="D156" s="6"/>
    </row>
    <row r="157" spans="1:4" x14ac:dyDescent="0.2">
      <c r="A157">
        <v>152</v>
      </c>
      <c r="B157" s="14">
        <f>'EstExp 12-20'!I452</f>
        <v>0</v>
      </c>
      <c r="C157" s="5">
        <f t="shared" si="2"/>
        <v>152</v>
      </c>
      <c r="D157" s="6"/>
    </row>
    <row r="158" spans="1:4" x14ac:dyDescent="0.2">
      <c r="A158" s="4">
        <v>153</v>
      </c>
      <c r="B158" s="14">
        <f>'EstExp 12-20'!L452</f>
        <v>0</v>
      </c>
      <c r="C158" s="5">
        <f t="shared" si="2"/>
        <v>153</v>
      </c>
      <c r="D158" s="7"/>
    </row>
    <row r="159" spans="1:4" x14ac:dyDescent="0.2">
      <c r="A159" s="4">
        <v>154</v>
      </c>
      <c r="B159" s="15">
        <f>'EstExp 12-20'!K18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298</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12-20'!D5</f>
        <v>28367700</v>
      </c>
      <c r="C649" s="5">
        <f t="shared" ref="C649:C708" si="8">A649-B649</f>
        <v>-28367056</v>
      </c>
      <c r="D649" s="6"/>
    </row>
    <row r="650" spans="1:4" x14ac:dyDescent="0.2">
      <c r="A650">
        <v>645</v>
      </c>
      <c r="B650" s="14">
        <f>'EstExp 12-20'!D16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12-20'!D18</f>
        <v>247000</v>
      </c>
      <c r="C656" s="5">
        <f t="shared" si="8"/>
        <v>-246349</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12-20'!D12</f>
        <v>113000</v>
      </c>
      <c r="C660" s="5">
        <f t="shared" si="8"/>
        <v>-112345</v>
      </c>
      <c r="D660" s="6"/>
    </row>
    <row r="661" spans="1:4" x14ac:dyDescent="0.2">
      <c r="A661">
        <v>656</v>
      </c>
      <c r="B661" s="14">
        <f>'EstExp 12-20'!D13</f>
        <v>2522000</v>
      </c>
      <c r="C661" s="5">
        <f t="shared" si="8"/>
        <v>-2521344</v>
      </c>
      <c r="D661" s="6"/>
    </row>
    <row r="662" spans="1:4" x14ac:dyDescent="0.2">
      <c r="A662">
        <v>657</v>
      </c>
      <c r="B662" s="14">
        <f>'EstExp 12-20'!D14</f>
        <v>1656300</v>
      </c>
      <c r="C662" s="5">
        <f t="shared" si="8"/>
        <v>-1655643</v>
      </c>
      <c r="D662" s="6"/>
    </row>
    <row r="663" spans="1:4" x14ac:dyDescent="0.2">
      <c r="A663">
        <v>658</v>
      </c>
      <c r="B663" s="14">
        <f>'EstExp 12-20'!D15</f>
        <v>383000</v>
      </c>
      <c r="C663" s="5">
        <f t="shared" si="8"/>
        <v>-382342</v>
      </c>
      <c r="D663" s="6"/>
    </row>
    <row r="664" spans="1:4" x14ac:dyDescent="0.2">
      <c r="A664">
        <v>659</v>
      </c>
      <c r="B664" s="14">
        <f>'EstExp 12-20'!D34</f>
        <v>40880000</v>
      </c>
      <c r="C664" s="5">
        <f t="shared" si="8"/>
        <v>-40879341</v>
      </c>
      <c r="D664" s="6"/>
    </row>
    <row r="665" spans="1:4" x14ac:dyDescent="0.2">
      <c r="A665">
        <v>660</v>
      </c>
      <c r="B665" s="14">
        <f>'EstExp 12-20'!D38</f>
        <v>1170000</v>
      </c>
      <c r="C665" s="5">
        <f t="shared" si="8"/>
        <v>-1169340</v>
      </c>
      <c r="D665" s="6"/>
    </row>
    <row r="666" spans="1:4" x14ac:dyDescent="0.2">
      <c r="A666">
        <v>661</v>
      </c>
      <c r="B666" s="14">
        <f>'EstExp 12-20'!D39</f>
        <v>2750600</v>
      </c>
      <c r="C666" s="5">
        <f t="shared" si="8"/>
        <v>-2749939</v>
      </c>
      <c r="D666" s="6"/>
    </row>
    <row r="667" spans="1:4" x14ac:dyDescent="0.2">
      <c r="A667">
        <v>662</v>
      </c>
      <c r="B667" s="14">
        <f>'EstExp 12-20'!D40</f>
        <v>311800</v>
      </c>
      <c r="C667" s="5">
        <f t="shared" si="8"/>
        <v>-311138</v>
      </c>
      <c r="D667" s="6"/>
    </row>
    <row r="668" spans="1:4" x14ac:dyDescent="0.2">
      <c r="A668">
        <v>663</v>
      </c>
      <c r="B668" s="14">
        <f>'EstExp 12-20'!D41</f>
        <v>522000</v>
      </c>
      <c r="C668" s="5">
        <f t="shared" si="8"/>
        <v>-521337</v>
      </c>
      <c r="D668" s="6"/>
    </row>
    <row r="669" spans="1:4" x14ac:dyDescent="0.2">
      <c r="A669">
        <v>664</v>
      </c>
      <c r="B669" s="14">
        <f>'EstExp 12-20'!D42</f>
        <v>0</v>
      </c>
      <c r="C669" s="5">
        <f t="shared" si="8"/>
        <v>664</v>
      </c>
      <c r="D669" s="6"/>
    </row>
    <row r="670" spans="1:4" x14ac:dyDescent="0.2">
      <c r="A670">
        <v>665</v>
      </c>
      <c r="B670" s="14">
        <f>'EstExp 12-20'!D43</f>
        <v>2980100</v>
      </c>
      <c r="C670" s="5">
        <f t="shared" si="8"/>
        <v>-2979435</v>
      </c>
      <c r="D670" s="6"/>
    </row>
    <row r="671" spans="1:4" x14ac:dyDescent="0.2">
      <c r="A671">
        <v>666</v>
      </c>
      <c r="B671" s="14">
        <f>'EstExp 12-20'!D44</f>
        <v>7734500</v>
      </c>
      <c r="C671" s="5">
        <f t="shared" si="8"/>
        <v>-7733834</v>
      </c>
      <c r="D671" s="6"/>
    </row>
    <row r="672" spans="1:4" x14ac:dyDescent="0.2">
      <c r="A672">
        <v>667</v>
      </c>
      <c r="B672" s="14">
        <f>'EstExp 12-20'!D46</f>
        <v>173600</v>
      </c>
      <c r="C672" s="5">
        <f t="shared" si="8"/>
        <v>-172933</v>
      </c>
      <c r="D672" s="6"/>
    </row>
    <row r="673" spans="1:4" x14ac:dyDescent="0.2">
      <c r="A673">
        <v>668</v>
      </c>
      <c r="B673" s="14">
        <f>'EstExp 12-20'!D47</f>
        <v>720250</v>
      </c>
      <c r="C673" s="5">
        <f t="shared" si="8"/>
        <v>-719582</v>
      </c>
      <c r="D673" s="6"/>
    </row>
    <row r="674" spans="1:4" x14ac:dyDescent="0.2">
      <c r="A674">
        <v>669</v>
      </c>
      <c r="B674" s="14">
        <f>'EstExp 12-20'!D48</f>
        <v>174000</v>
      </c>
      <c r="C674" s="5">
        <f t="shared" si="8"/>
        <v>-173331</v>
      </c>
      <c r="D674" s="6"/>
    </row>
    <row r="675" spans="1:4" x14ac:dyDescent="0.2">
      <c r="A675">
        <v>670</v>
      </c>
      <c r="B675" s="14">
        <f>'EstExp 12-20'!D49</f>
        <v>1067850</v>
      </c>
      <c r="C675" s="5">
        <f t="shared" si="8"/>
        <v>-1067180</v>
      </c>
      <c r="D675" s="6"/>
    </row>
    <row r="676" spans="1:4" x14ac:dyDescent="0.2">
      <c r="A676">
        <v>671</v>
      </c>
      <c r="B676" s="14">
        <f>'EstExp 12-20'!D51</f>
        <v>0</v>
      </c>
      <c r="C676" s="5">
        <f t="shared" si="8"/>
        <v>671</v>
      </c>
      <c r="D676" s="6"/>
    </row>
    <row r="677" spans="1:4" x14ac:dyDescent="0.2">
      <c r="A677">
        <v>672</v>
      </c>
      <c r="B677" s="14">
        <f>'EstExp 12-20'!D52</f>
        <v>527000</v>
      </c>
      <c r="C677" s="5">
        <f t="shared" si="8"/>
        <v>-526328</v>
      </c>
      <c r="D677" s="6"/>
    </row>
    <row r="678" spans="1:4" x14ac:dyDescent="0.2">
      <c r="A678">
        <v>673</v>
      </c>
      <c r="B678" s="14">
        <f>'EstExp 12-20'!D55</f>
        <v>752000</v>
      </c>
      <c r="C678" s="5">
        <f t="shared" si="8"/>
        <v>-751327</v>
      </c>
      <c r="D678" s="6"/>
    </row>
    <row r="679" spans="1:4" x14ac:dyDescent="0.2">
      <c r="A679">
        <v>674</v>
      </c>
      <c r="B679" s="14">
        <f>'EstExp 12-20'!D57</f>
        <v>3061300</v>
      </c>
      <c r="C679" s="5">
        <f t="shared" si="8"/>
        <v>-3060626</v>
      </c>
      <c r="D679" s="6"/>
    </row>
    <row r="680" spans="1:4" x14ac:dyDescent="0.2">
      <c r="A680">
        <v>675</v>
      </c>
      <c r="B680" s="14">
        <f>'EstExp 12-20'!D58</f>
        <v>0</v>
      </c>
      <c r="C680" s="5">
        <f t="shared" si="8"/>
        <v>675</v>
      </c>
      <c r="D680" s="6"/>
    </row>
    <row r="681" spans="1:4" x14ac:dyDescent="0.2">
      <c r="A681">
        <v>676</v>
      </c>
      <c r="B681" s="14">
        <f>'EstExp 12-20'!D59</f>
        <v>3061300</v>
      </c>
      <c r="C681" s="5">
        <f t="shared" si="8"/>
        <v>-3060624</v>
      </c>
      <c r="D681" s="6"/>
    </row>
    <row r="682" spans="1:4" x14ac:dyDescent="0.2">
      <c r="A682">
        <v>677</v>
      </c>
      <c r="B682" s="14">
        <f>'EstExp 12-20'!D61</f>
        <v>132400</v>
      </c>
      <c r="C682" s="5">
        <f t="shared" si="8"/>
        <v>-131723</v>
      </c>
      <c r="D682" s="6"/>
    </row>
    <row r="683" spans="1:4" x14ac:dyDescent="0.2">
      <c r="A683">
        <v>678</v>
      </c>
      <c r="B683" s="14">
        <f>'EstExp 12-20'!D62</f>
        <v>668000</v>
      </c>
      <c r="C683" s="5">
        <f t="shared" si="8"/>
        <v>-667322</v>
      </c>
      <c r="D683" s="6"/>
    </row>
    <row r="684" spans="1:4" x14ac:dyDescent="0.2">
      <c r="A684">
        <v>679</v>
      </c>
      <c r="B684" s="14">
        <f>'EstExp 12-20'!D63</f>
        <v>108000</v>
      </c>
      <c r="C684" s="5">
        <f t="shared" si="8"/>
        <v>-107321</v>
      </c>
      <c r="D684" s="6"/>
    </row>
    <row r="685" spans="1:4" x14ac:dyDescent="0.2">
      <c r="A685">
        <v>680</v>
      </c>
      <c r="B685" s="14">
        <f>'EstExp 12-20'!D64</f>
        <v>0</v>
      </c>
      <c r="C685" s="5">
        <f t="shared" si="8"/>
        <v>680</v>
      </c>
      <c r="D685" s="6"/>
    </row>
    <row r="686" spans="1:4" x14ac:dyDescent="0.2">
      <c r="A686">
        <v>681</v>
      </c>
      <c r="B686" s="14">
        <f>'EstExp 12-20'!D65</f>
        <v>710000</v>
      </c>
      <c r="C686" s="5">
        <f t="shared" si="8"/>
        <v>-709319</v>
      </c>
      <c r="D686" s="6"/>
    </row>
    <row r="687" spans="1:4" x14ac:dyDescent="0.2">
      <c r="A687">
        <v>682</v>
      </c>
      <c r="B687" s="14">
        <f>'EstExp 12-20'!D66</f>
        <v>79000</v>
      </c>
      <c r="C687" s="5">
        <f t="shared" si="8"/>
        <v>-78318</v>
      </c>
      <c r="D687" s="6"/>
    </row>
    <row r="688" spans="1:4" x14ac:dyDescent="0.2">
      <c r="A688" s="3">
        <v>683</v>
      </c>
      <c r="D688" s="7"/>
    </row>
    <row r="689" spans="1:4" x14ac:dyDescent="0.2">
      <c r="A689">
        <v>684</v>
      </c>
      <c r="B689" s="14">
        <f>'EstExp 12-20'!D67</f>
        <v>1697400</v>
      </c>
      <c r="C689" s="5">
        <f t="shared" si="8"/>
        <v>-1696716</v>
      </c>
      <c r="D689" s="6"/>
    </row>
    <row r="690" spans="1:4" x14ac:dyDescent="0.2">
      <c r="A690">
        <v>685</v>
      </c>
      <c r="B690" s="14">
        <f>'EstExp 12-20'!D69</f>
        <v>0</v>
      </c>
      <c r="C690" s="5">
        <f t="shared" si="8"/>
        <v>685</v>
      </c>
      <c r="D690" s="6"/>
    </row>
    <row r="691" spans="1:4" x14ac:dyDescent="0.2">
      <c r="A691">
        <v>686</v>
      </c>
      <c r="B691" s="14">
        <f>'EstExp 12-20'!D70</f>
        <v>197000</v>
      </c>
      <c r="C691" s="5">
        <f t="shared" si="8"/>
        <v>-196314</v>
      </c>
      <c r="D691" s="6"/>
    </row>
    <row r="692" spans="1:4" x14ac:dyDescent="0.2">
      <c r="A692">
        <v>687</v>
      </c>
      <c r="B692" s="14">
        <f>'EstExp 12-20'!D71</f>
        <v>273000</v>
      </c>
      <c r="C692" s="5">
        <f t="shared" si="8"/>
        <v>-272313</v>
      </c>
      <c r="D692" s="6"/>
    </row>
    <row r="693" spans="1:4" x14ac:dyDescent="0.2">
      <c r="A693">
        <v>688</v>
      </c>
      <c r="B693" s="14">
        <f>'EstExp 12-20'!D72</f>
        <v>768000</v>
      </c>
      <c r="C693" s="5">
        <f t="shared" si="8"/>
        <v>-767312</v>
      </c>
      <c r="D693" s="6"/>
    </row>
    <row r="694" spans="1:4" x14ac:dyDescent="0.2">
      <c r="A694" s="3">
        <v>689</v>
      </c>
      <c r="D694" s="7"/>
    </row>
    <row r="695" spans="1:4" x14ac:dyDescent="0.2">
      <c r="A695">
        <v>690</v>
      </c>
      <c r="B695" s="14">
        <f>'EstExp 12-20'!D73</f>
        <v>1010000</v>
      </c>
      <c r="C695" s="5">
        <f t="shared" si="8"/>
        <v>-1009310</v>
      </c>
      <c r="D695" s="6"/>
    </row>
    <row r="696" spans="1:4" x14ac:dyDescent="0.2">
      <c r="A696" s="3">
        <v>691</v>
      </c>
      <c r="D696" s="7"/>
    </row>
    <row r="697" spans="1:4" x14ac:dyDescent="0.2">
      <c r="A697">
        <v>692</v>
      </c>
      <c r="B697" s="14">
        <f>'EstExp 12-20'!D74</f>
        <v>2248000</v>
      </c>
      <c r="C697" s="5">
        <f t="shared" si="8"/>
        <v>-2247308</v>
      </c>
      <c r="D697" s="6"/>
    </row>
    <row r="698" spans="1:4" x14ac:dyDescent="0.2">
      <c r="A698">
        <v>693</v>
      </c>
      <c r="B698" s="14">
        <f>'EstExp 12-20'!D75</f>
        <v>0</v>
      </c>
      <c r="C698" s="5">
        <f t="shared" si="8"/>
        <v>693</v>
      </c>
      <c r="D698" s="6"/>
    </row>
    <row r="699" spans="1:4" x14ac:dyDescent="0.2">
      <c r="A699">
        <v>694</v>
      </c>
      <c r="B699" s="14">
        <f>'EstExp 12-20'!D76</f>
        <v>16561050</v>
      </c>
      <c r="C699" s="5">
        <f t="shared" si="8"/>
        <v>-16560356</v>
      </c>
      <c r="D699" s="6"/>
    </row>
    <row r="700" spans="1:4" x14ac:dyDescent="0.2">
      <c r="A700">
        <v>695</v>
      </c>
      <c r="B700" s="14">
        <f>'EstExp 12-20'!D77</f>
        <v>0</v>
      </c>
      <c r="C700" s="5">
        <f t="shared" si="8"/>
        <v>695</v>
      </c>
      <c r="D700" s="6"/>
    </row>
    <row r="701" spans="1:4" x14ac:dyDescent="0.2">
      <c r="A701">
        <v>696</v>
      </c>
      <c r="B701" s="14">
        <f>'EstExp 12-20'!D116</f>
        <v>57441050</v>
      </c>
      <c r="C701" s="5">
        <f t="shared" si="8"/>
        <v>-57440354</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12-20'!E5</f>
        <v>2853100</v>
      </c>
      <c r="C707" s="5">
        <f t="shared" si="8"/>
        <v>-2852398</v>
      </c>
      <c r="D707" s="6"/>
    </row>
    <row r="708" spans="1:4" x14ac:dyDescent="0.2">
      <c r="A708">
        <v>703</v>
      </c>
      <c r="B708" s="14">
        <f>'EstExp 12-20'!E16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12-20'!E18</f>
        <v>43000</v>
      </c>
      <c r="C714" s="5">
        <f t="shared" ref="C714:C772" si="9">A714-B714</f>
        <v>-42291</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12-20'!E12</f>
        <v>16000</v>
      </c>
      <c r="C718" s="5">
        <f t="shared" si="9"/>
        <v>-15287</v>
      </c>
      <c r="D718" s="6"/>
    </row>
    <row r="719" spans="1:4" x14ac:dyDescent="0.2">
      <c r="A719">
        <v>714</v>
      </c>
      <c r="B719" s="14">
        <f>'EstExp 12-20'!E13</f>
        <v>243800</v>
      </c>
      <c r="C719" s="5">
        <f t="shared" si="9"/>
        <v>-243086</v>
      </c>
      <c r="D719" s="6"/>
    </row>
    <row r="720" spans="1:4" x14ac:dyDescent="0.2">
      <c r="A720">
        <v>715</v>
      </c>
      <c r="B720" s="14">
        <f>'EstExp 12-20'!E14</f>
        <v>68400</v>
      </c>
      <c r="C720" s="5">
        <f t="shared" si="9"/>
        <v>-67685</v>
      </c>
      <c r="D720" s="6"/>
    </row>
    <row r="721" spans="1:4" x14ac:dyDescent="0.2">
      <c r="A721">
        <v>716</v>
      </c>
      <c r="B721" s="14">
        <f>'EstExp 12-20'!E15</f>
        <v>0</v>
      </c>
      <c r="C721" s="5">
        <f t="shared" si="9"/>
        <v>716</v>
      </c>
      <c r="D721" s="6"/>
    </row>
    <row r="722" spans="1:4" x14ac:dyDescent="0.2">
      <c r="A722">
        <v>717</v>
      </c>
      <c r="B722" s="14">
        <f>'EstExp 12-20'!E34</f>
        <v>3974100</v>
      </c>
      <c r="C722" s="5">
        <f t="shared" si="9"/>
        <v>-3973383</v>
      </c>
      <c r="D722" s="6"/>
    </row>
    <row r="723" spans="1:4" x14ac:dyDescent="0.2">
      <c r="A723">
        <v>718</v>
      </c>
      <c r="B723" s="14">
        <f>'EstExp 12-20'!E38</f>
        <v>119800</v>
      </c>
      <c r="C723" s="5">
        <f t="shared" si="9"/>
        <v>-119082</v>
      </c>
      <c r="D723" s="6"/>
    </row>
    <row r="724" spans="1:4" x14ac:dyDescent="0.2">
      <c r="A724">
        <v>719</v>
      </c>
      <c r="B724" s="14">
        <f>'EstExp 12-20'!E39</f>
        <v>165300</v>
      </c>
      <c r="C724" s="5">
        <f t="shared" si="9"/>
        <v>-164581</v>
      </c>
      <c r="D724" s="6"/>
    </row>
    <row r="725" spans="1:4" x14ac:dyDescent="0.2">
      <c r="A725">
        <v>720</v>
      </c>
      <c r="B725" s="14">
        <f>'EstExp 12-20'!E40</f>
        <v>34100</v>
      </c>
      <c r="C725" s="5">
        <f t="shared" si="9"/>
        <v>-33380</v>
      </c>
      <c r="D725" s="6"/>
    </row>
    <row r="726" spans="1:4" x14ac:dyDescent="0.2">
      <c r="A726">
        <v>721</v>
      </c>
      <c r="B726" s="14">
        <f>'EstExp 12-20'!E41</f>
        <v>54000</v>
      </c>
      <c r="C726" s="5">
        <f t="shared" si="9"/>
        <v>-53279</v>
      </c>
      <c r="D726" s="6"/>
    </row>
    <row r="727" spans="1:4" x14ac:dyDescent="0.2">
      <c r="A727">
        <v>722</v>
      </c>
      <c r="B727" s="14">
        <f>'EstExp 12-20'!E42</f>
        <v>0</v>
      </c>
      <c r="C727" s="5">
        <f t="shared" si="9"/>
        <v>722</v>
      </c>
      <c r="D727" s="6"/>
    </row>
    <row r="728" spans="1:4" x14ac:dyDescent="0.2">
      <c r="A728">
        <v>723</v>
      </c>
      <c r="B728" s="14">
        <f>'EstExp 12-20'!E43</f>
        <v>407400</v>
      </c>
      <c r="C728" s="5">
        <f t="shared" si="9"/>
        <v>-406677</v>
      </c>
      <c r="D728" s="6"/>
    </row>
    <row r="729" spans="1:4" x14ac:dyDescent="0.2">
      <c r="A729">
        <v>724</v>
      </c>
      <c r="B729" s="14">
        <f>'EstExp 12-20'!E44</f>
        <v>780600</v>
      </c>
      <c r="C729" s="5">
        <f t="shared" si="9"/>
        <v>-779876</v>
      </c>
      <c r="D729" s="6"/>
    </row>
    <row r="730" spans="1:4" x14ac:dyDescent="0.2">
      <c r="A730">
        <v>725</v>
      </c>
      <c r="B730" s="14">
        <f>'EstExp 12-20'!E46</f>
        <v>10100</v>
      </c>
      <c r="C730" s="5">
        <f t="shared" si="9"/>
        <v>-9375</v>
      </c>
      <c r="D730" s="6"/>
    </row>
    <row r="731" spans="1:4" x14ac:dyDescent="0.2">
      <c r="A731">
        <v>726</v>
      </c>
      <c r="B731" s="14">
        <f>'EstExp 12-20'!E47</f>
        <v>81000</v>
      </c>
      <c r="C731" s="5">
        <f t="shared" si="9"/>
        <v>-80274</v>
      </c>
      <c r="D731" s="6"/>
    </row>
    <row r="732" spans="1:4" x14ac:dyDescent="0.2">
      <c r="A732">
        <v>727</v>
      </c>
      <c r="B732" s="14">
        <f>'EstExp 12-20'!E48</f>
        <v>9000</v>
      </c>
      <c r="C732" s="5">
        <f t="shared" si="9"/>
        <v>-8273</v>
      </c>
      <c r="D732" s="6"/>
    </row>
    <row r="733" spans="1:4" x14ac:dyDescent="0.2">
      <c r="A733">
        <v>728</v>
      </c>
      <c r="B733" s="14">
        <f>'EstExp 12-20'!E49</f>
        <v>100100</v>
      </c>
      <c r="C733" s="5">
        <f t="shared" si="9"/>
        <v>-99372</v>
      </c>
      <c r="D733" s="6"/>
    </row>
    <row r="734" spans="1:4" x14ac:dyDescent="0.2">
      <c r="A734">
        <v>729</v>
      </c>
      <c r="B734" s="14">
        <f>'EstExp 12-20'!E51</f>
        <v>688000</v>
      </c>
      <c r="C734" s="5">
        <f t="shared" si="9"/>
        <v>-687271</v>
      </c>
      <c r="D734" s="6"/>
    </row>
    <row r="735" spans="1:4" x14ac:dyDescent="0.2">
      <c r="A735">
        <v>730</v>
      </c>
      <c r="B735" s="14">
        <f>'EstExp 12-20'!E52</f>
        <v>57000</v>
      </c>
      <c r="C735" s="5">
        <f t="shared" si="9"/>
        <v>-56270</v>
      </c>
      <c r="D735" s="6"/>
    </row>
    <row r="736" spans="1:4" x14ac:dyDescent="0.2">
      <c r="A736">
        <v>731</v>
      </c>
      <c r="B736" s="14">
        <f>'EstExp 12-20'!E55</f>
        <v>776100</v>
      </c>
      <c r="C736" s="5">
        <f t="shared" si="9"/>
        <v>-775369</v>
      </c>
      <c r="D736" s="6"/>
    </row>
    <row r="737" spans="1:4" x14ac:dyDescent="0.2">
      <c r="A737">
        <v>732</v>
      </c>
      <c r="B737" s="14">
        <f>'EstExp 12-20'!E57</f>
        <v>407400</v>
      </c>
      <c r="C737" s="5">
        <f t="shared" si="9"/>
        <v>-406668</v>
      </c>
      <c r="D737" s="6"/>
    </row>
    <row r="738" spans="1:4" x14ac:dyDescent="0.2">
      <c r="A738">
        <v>733</v>
      </c>
      <c r="B738" s="14">
        <f>'EstExp 12-20'!E58</f>
        <v>0</v>
      </c>
      <c r="C738" s="5">
        <f t="shared" si="9"/>
        <v>733</v>
      </c>
      <c r="D738" s="6"/>
    </row>
    <row r="739" spans="1:4" x14ac:dyDescent="0.2">
      <c r="A739">
        <v>734</v>
      </c>
      <c r="B739" s="14">
        <f>'EstExp 12-20'!E59</f>
        <v>407400</v>
      </c>
      <c r="C739" s="5">
        <f t="shared" si="9"/>
        <v>-406666</v>
      </c>
      <c r="D739" s="6"/>
    </row>
    <row r="740" spans="1:4" x14ac:dyDescent="0.2">
      <c r="A740">
        <v>735</v>
      </c>
      <c r="B740" s="14">
        <f>'EstExp 12-20'!E61</f>
        <v>27000</v>
      </c>
      <c r="C740" s="5">
        <f t="shared" si="9"/>
        <v>-26265</v>
      </c>
      <c r="D740" s="6"/>
    </row>
    <row r="741" spans="1:4" x14ac:dyDescent="0.2">
      <c r="A741">
        <v>736</v>
      </c>
      <c r="B741" s="14">
        <f>'EstExp 12-20'!E62</f>
        <v>100000</v>
      </c>
      <c r="C741" s="5">
        <f t="shared" si="9"/>
        <v>-99264</v>
      </c>
      <c r="D741" s="6"/>
    </row>
    <row r="742" spans="1:4" x14ac:dyDescent="0.2">
      <c r="A742">
        <v>737</v>
      </c>
      <c r="B742" s="14">
        <f>'EstExp 12-20'!E63</f>
        <v>13000</v>
      </c>
      <c r="C742" s="5">
        <f t="shared" si="9"/>
        <v>-12263</v>
      </c>
      <c r="D742" s="6"/>
    </row>
    <row r="743" spans="1:4" x14ac:dyDescent="0.2">
      <c r="A743">
        <v>738</v>
      </c>
      <c r="B743" s="14">
        <f>'EstExp 12-20'!E64</f>
        <v>0</v>
      </c>
      <c r="C743" s="5">
        <f t="shared" si="9"/>
        <v>738</v>
      </c>
      <c r="D743" s="6"/>
    </row>
    <row r="744" spans="1:4" x14ac:dyDescent="0.2">
      <c r="A744">
        <v>739</v>
      </c>
      <c r="B744" s="14">
        <f>'EstExp 12-20'!E65</f>
        <v>287800</v>
      </c>
      <c r="C744" s="5">
        <f t="shared" si="9"/>
        <v>-287061</v>
      </c>
      <c r="D744" s="6"/>
    </row>
    <row r="745" spans="1:4" x14ac:dyDescent="0.2">
      <c r="A745">
        <v>740</v>
      </c>
      <c r="B745" s="14">
        <f>'EstExp 12-20'!E66</f>
        <v>20000</v>
      </c>
      <c r="C745" s="5">
        <f t="shared" si="9"/>
        <v>-19260</v>
      </c>
      <c r="D745" s="6"/>
    </row>
    <row r="746" spans="1:4" x14ac:dyDescent="0.2">
      <c r="A746" s="3">
        <v>741</v>
      </c>
      <c r="D746" s="7"/>
    </row>
    <row r="747" spans="1:4" x14ac:dyDescent="0.2">
      <c r="A747">
        <v>742</v>
      </c>
      <c r="B747" s="14">
        <f>'EstExp 12-20'!E67</f>
        <v>447800</v>
      </c>
      <c r="C747" s="5">
        <f t="shared" si="9"/>
        <v>-447058</v>
      </c>
      <c r="D747" s="6"/>
    </row>
    <row r="748" spans="1:4" x14ac:dyDescent="0.2">
      <c r="A748">
        <v>743</v>
      </c>
      <c r="B748" s="14">
        <f>'EstExp 12-20'!E69</f>
        <v>0</v>
      </c>
      <c r="C748" s="5">
        <f t="shared" si="9"/>
        <v>743</v>
      </c>
      <c r="D748" s="6"/>
    </row>
    <row r="749" spans="1:4" x14ac:dyDescent="0.2">
      <c r="A749">
        <v>744</v>
      </c>
      <c r="B749" s="14">
        <f>'EstExp 12-20'!E70</f>
        <v>25900</v>
      </c>
      <c r="C749" s="5">
        <f t="shared" si="9"/>
        <v>-25156</v>
      </c>
      <c r="D749" s="6"/>
    </row>
    <row r="750" spans="1:4" x14ac:dyDescent="0.2">
      <c r="A750">
        <v>745</v>
      </c>
      <c r="B750" s="14">
        <f>'EstExp 12-20'!E71</f>
        <v>18900</v>
      </c>
      <c r="C750" s="5">
        <f t="shared" si="9"/>
        <v>-18155</v>
      </c>
      <c r="D750" s="6"/>
    </row>
    <row r="751" spans="1:4" x14ac:dyDescent="0.2">
      <c r="A751">
        <v>746</v>
      </c>
      <c r="B751" s="14">
        <f>'EstExp 12-20'!E72</f>
        <v>80200</v>
      </c>
      <c r="C751" s="5">
        <f t="shared" si="9"/>
        <v>-79454</v>
      </c>
      <c r="D751" s="6"/>
    </row>
    <row r="752" spans="1:4" x14ac:dyDescent="0.2">
      <c r="A752" s="3">
        <v>747</v>
      </c>
      <c r="D752" s="7"/>
    </row>
    <row r="753" spans="1:4" x14ac:dyDescent="0.2">
      <c r="A753">
        <v>748</v>
      </c>
      <c r="B753" s="14">
        <f>'EstExp 12-20'!E73</f>
        <v>120900</v>
      </c>
      <c r="C753" s="5">
        <f t="shared" si="9"/>
        <v>-120152</v>
      </c>
      <c r="D753" s="6"/>
    </row>
    <row r="754" spans="1:4" x14ac:dyDescent="0.2">
      <c r="A754" s="3">
        <v>749</v>
      </c>
      <c r="D754" s="7"/>
    </row>
    <row r="755" spans="1:4" x14ac:dyDescent="0.2">
      <c r="A755">
        <v>750</v>
      </c>
      <c r="B755" s="14">
        <f>'EstExp 12-20'!E74</f>
        <v>245900</v>
      </c>
      <c r="C755" s="5">
        <f t="shared" si="9"/>
        <v>-245150</v>
      </c>
      <c r="D755" s="6"/>
    </row>
    <row r="756" spans="1:4" x14ac:dyDescent="0.2">
      <c r="A756">
        <v>751</v>
      </c>
      <c r="B756" s="14">
        <f>'EstExp 12-20'!E75</f>
        <v>0</v>
      </c>
      <c r="C756" s="5">
        <f t="shared" si="9"/>
        <v>751</v>
      </c>
      <c r="D756" s="6"/>
    </row>
    <row r="757" spans="1:4" x14ac:dyDescent="0.2">
      <c r="A757">
        <v>752</v>
      </c>
      <c r="B757" s="14">
        <f>'EstExp 12-20'!E76</f>
        <v>2757900</v>
      </c>
      <c r="C757" s="5">
        <f t="shared" si="9"/>
        <v>-2757148</v>
      </c>
      <c r="D757" s="6"/>
    </row>
    <row r="758" spans="1:4" x14ac:dyDescent="0.2">
      <c r="A758">
        <v>753</v>
      </c>
      <c r="B758" s="14">
        <f>'EstExp 12-20'!E77</f>
        <v>0</v>
      </c>
      <c r="C758" s="5">
        <f t="shared" si="9"/>
        <v>753</v>
      </c>
      <c r="D758" s="6"/>
    </row>
    <row r="759" spans="1:4" x14ac:dyDescent="0.2">
      <c r="A759">
        <v>754</v>
      </c>
      <c r="B759" s="14">
        <f>'EstExp 12-20'!E116</f>
        <v>6732000</v>
      </c>
      <c r="C759" s="5">
        <f t="shared" si="9"/>
        <v>-6731246</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12-20'!F5</f>
        <v>458400</v>
      </c>
      <c r="C765" s="5">
        <f t="shared" si="9"/>
        <v>-457640</v>
      </c>
      <c r="D765" s="6"/>
    </row>
    <row r="766" spans="1:4" x14ac:dyDescent="0.2">
      <c r="A766">
        <v>761</v>
      </c>
      <c r="B766" s="14">
        <f>'EstExp 12-20'!F16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12-20'!F18</f>
        <v>2000</v>
      </c>
      <c r="C772" s="5">
        <f t="shared" si="9"/>
        <v>-1233</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12-20'!F12</f>
        <v>0</v>
      </c>
      <c r="C776" s="5">
        <f t="shared" ref="C776:C839" si="10">A776-B776</f>
        <v>771</v>
      </c>
      <c r="D776" s="6"/>
    </row>
    <row r="777" spans="1:4" x14ac:dyDescent="0.2">
      <c r="A777">
        <v>772</v>
      </c>
      <c r="B777" s="14">
        <f>'EstExp 12-20'!F13</f>
        <v>16800</v>
      </c>
      <c r="C777" s="5">
        <f t="shared" si="10"/>
        <v>-16028</v>
      </c>
      <c r="D777" s="6"/>
    </row>
    <row r="778" spans="1:4" x14ac:dyDescent="0.2">
      <c r="A778">
        <v>773</v>
      </c>
      <c r="B778" s="14">
        <f>'EstExp 12-20'!F14</f>
        <v>221300</v>
      </c>
      <c r="C778" s="5">
        <f t="shared" si="10"/>
        <v>-220527</v>
      </c>
      <c r="D778" s="6"/>
    </row>
    <row r="779" spans="1:4" x14ac:dyDescent="0.2">
      <c r="A779">
        <v>774</v>
      </c>
      <c r="B779" s="14">
        <f>'EstExp 12-20'!F15</f>
        <v>4500</v>
      </c>
      <c r="C779" s="5">
        <f t="shared" si="10"/>
        <v>-3726</v>
      </c>
      <c r="D779" s="6"/>
    </row>
    <row r="780" spans="1:4" x14ac:dyDescent="0.2">
      <c r="A780">
        <v>775</v>
      </c>
      <c r="B780" s="14">
        <f>'EstExp 12-20'!F34</f>
        <v>1193150</v>
      </c>
      <c r="C780" s="5">
        <f t="shared" si="10"/>
        <v>-1192375</v>
      </c>
      <c r="D780" s="6"/>
    </row>
    <row r="781" spans="1:4" x14ac:dyDescent="0.2">
      <c r="A781">
        <v>776</v>
      </c>
      <c r="B781" s="14">
        <f>'EstExp 12-20'!F38</f>
        <v>50800</v>
      </c>
      <c r="C781" s="5">
        <f t="shared" si="10"/>
        <v>-50024</v>
      </c>
      <c r="D781" s="6"/>
    </row>
    <row r="782" spans="1:4" x14ac:dyDescent="0.2">
      <c r="A782">
        <v>777</v>
      </c>
      <c r="B782" s="14">
        <f>'EstExp 12-20'!F39</f>
        <v>20400</v>
      </c>
      <c r="C782" s="5">
        <f t="shared" si="10"/>
        <v>-19623</v>
      </c>
      <c r="D782" s="6"/>
    </row>
    <row r="783" spans="1:4" x14ac:dyDescent="0.2">
      <c r="A783">
        <v>778</v>
      </c>
      <c r="B783" s="14">
        <f>'EstExp 12-20'!F40</f>
        <v>112800</v>
      </c>
      <c r="C783" s="5">
        <f t="shared" si="10"/>
        <v>-112022</v>
      </c>
      <c r="D783" s="6"/>
    </row>
    <row r="784" spans="1:4" x14ac:dyDescent="0.2">
      <c r="A784">
        <v>779</v>
      </c>
      <c r="B784" s="14">
        <f>'EstExp 12-20'!F41</f>
        <v>5100</v>
      </c>
      <c r="C784" s="5">
        <f t="shared" si="10"/>
        <v>-4321</v>
      </c>
      <c r="D784" s="6"/>
    </row>
    <row r="785" spans="1:4" x14ac:dyDescent="0.2">
      <c r="A785">
        <v>780</v>
      </c>
      <c r="B785" s="14">
        <f>'EstExp 12-20'!F42</f>
        <v>0</v>
      </c>
      <c r="C785" s="5">
        <f t="shared" si="10"/>
        <v>780</v>
      </c>
      <c r="D785" s="6"/>
    </row>
    <row r="786" spans="1:4" x14ac:dyDescent="0.2">
      <c r="A786">
        <v>781</v>
      </c>
      <c r="B786" s="14">
        <f>'EstExp 12-20'!F43</f>
        <v>217900</v>
      </c>
      <c r="C786" s="5">
        <f t="shared" si="10"/>
        <v>-217119</v>
      </c>
      <c r="D786" s="6"/>
    </row>
    <row r="787" spans="1:4" x14ac:dyDescent="0.2">
      <c r="A787">
        <v>782</v>
      </c>
      <c r="B787" s="14">
        <f>'EstExp 12-20'!F44</f>
        <v>407000</v>
      </c>
      <c r="C787" s="5">
        <f t="shared" si="10"/>
        <v>-406218</v>
      </c>
      <c r="D787" s="6"/>
    </row>
    <row r="788" spans="1:4" x14ac:dyDescent="0.2">
      <c r="A788">
        <v>783</v>
      </c>
      <c r="B788" s="14">
        <f>'EstExp 12-20'!F46</f>
        <v>326800</v>
      </c>
      <c r="C788" s="5">
        <f t="shared" si="10"/>
        <v>-326017</v>
      </c>
      <c r="D788" s="6"/>
    </row>
    <row r="789" spans="1:4" x14ac:dyDescent="0.2">
      <c r="A789">
        <v>784</v>
      </c>
      <c r="B789" s="14">
        <f>'EstExp 12-20'!F47</f>
        <v>61500</v>
      </c>
      <c r="C789" s="5">
        <f t="shared" si="10"/>
        <v>-60716</v>
      </c>
      <c r="D789" s="6"/>
    </row>
    <row r="790" spans="1:4" x14ac:dyDescent="0.2">
      <c r="A790">
        <v>785</v>
      </c>
      <c r="B790" s="14">
        <f>'EstExp 12-20'!F48</f>
        <v>8000</v>
      </c>
      <c r="C790" s="5">
        <f t="shared" si="10"/>
        <v>-7215</v>
      </c>
      <c r="D790" s="6"/>
    </row>
    <row r="791" spans="1:4" x14ac:dyDescent="0.2">
      <c r="A791">
        <v>786</v>
      </c>
      <c r="B791" s="14">
        <f>'EstExp 12-20'!F49</f>
        <v>396300</v>
      </c>
      <c r="C791" s="5">
        <f t="shared" si="10"/>
        <v>-395514</v>
      </c>
      <c r="D791" s="6"/>
    </row>
    <row r="792" spans="1:4" x14ac:dyDescent="0.2">
      <c r="A792">
        <v>787</v>
      </c>
      <c r="B792" s="14">
        <f>'EstExp 12-20'!F51</f>
        <v>552000</v>
      </c>
      <c r="C792" s="5">
        <f t="shared" si="10"/>
        <v>-551213</v>
      </c>
      <c r="D792" s="6"/>
    </row>
    <row r="793" spans="1:4" x14ac:dyDescent="0.2">
      <c r="A793">
        <v>788</v>
      </c>
      <c r="B793" s="14">
        <f>'EstExp 12-20'!F52</f>
        <v>7500</v>
      </c>
      <c r="C793" s="5">
        <f t="shared" si="10"/>
        <v>-6712</v>
      </c>
      <c r="D793" s="6"/>
    </row>
    <row r="794" spans="1:4" x14ac:dyDescent="0.2">
      <c r="A794">
        <v>789</v>
      </c>
      <c r="B794" s="14">
        <f>'EstExp 12-20'!F55</f>
        <v>562500</v>
      </c>
      <c r="C794" s="5">
        <f t="shared" si="10"/>
        <v>-561711</v>
      </c>
      <c r="D794" s="6"/>
    </row>
    <row r="795" spans="1:4" x14ac:dyDescent="0.2">
      <c r="A795">
        <v>790</v>
      </c>
      <c r="B795" s="14">
        <f>'EstExp 12-20'!F57</f>
        <v>73250</v>
      </c>
      <c r="C795" s="5">
        <f t="shared" si="10"/>
        <v>-72460</v>
      </c>
      <c r="D795" s="6"/>
    </row>
    <row r="796" spans="1:4" x14ac:dyDescent="0.2">
      <c r="A796">
        <v>791</v>
      </c>
      <c r="B796" s="14">
        <f>'EstExp 12-20'!F58</f>
        <v>0</v>
      </c>
      <c r="C796" s="5">
        <f t="shared" si="10"/>
        <v>791</v>
      </c>
      <c r="D796" s="6"/>
    </row>
    <row r="797" spans="1:4" x14ac:dyDescent="0.2">
      <c r="A797">
        <v>792</v>
      </c>
      <c r="B797" s="14">
        <f>'EstExp 12-20'!F59</f>
        <v>73250</v>
      </c>
      <c r="C797" s="5">
        <f t="shared" si="10"/>
        <v>-72458</v>
      </c>
      <c r="D797" s="6"/>
    </row>
    <row r="798" spans="1:4" x14ac:dyDescent="0.2">
      <c r="A798">
        <v>793</v>
      </c>
      <c r="B798" s="14">
        <f>'EstExp 12-20'!F61</f>
        <v>3000</v>
      </c>
      <c r="C798" s="5">
        <f t="shared" si="10"/>
        <v>-2207</v>
      </c>
      <c r="D798" s="6"/>
    </row>
    <row r="799" spans="1:4" x14ac:dyDescent="0.2">
      <c r="A799">
        <v>794</v>
      </c>
      <c r="B799" s="14">
        <f>'EstExp 12-20'!F62</f>
        <v>79000</v>
      </c>
      <c r="C799" s="5">
        <f t="shared" si="10"/>
        <v>-78206</v>
      </c>
      <c r="D799" s="6"/>
    </row>
    <row r="800" spans="1:4" x14ac:dyDescent="0.2">
      <c r="A800">
        <v>795</v>
      </c>
      <c r="B800" s="14">
        <f>'EstExp 12-20'!F63</f>
        <v>0</v>
      </c>
      <c r="C800" s="5">
        <f t="shared" si="10"/>
        <v>795</v>
      </c>
      <c r="D800" s="6"/>
    </row>
    <row r="801" spans="1:4" x14ac:dyDescent="0.2">
      <c r="A801">
        <v>796</v>
      </c>
      <c r="B801" s="14">
        <f>'EstExp 12-20'!F64</f>
        <v>16000</v>
      </c>
      <c r="C801" s="5">
        <f t="shared" si="10"/>
        <v>-15204</v>
      </c>
      <c r="D801" s="6"/>
    </row>
    <row r="802" spans="1:4" x14ac:dyDescent="0.2">
      <c r="A802">
        <v>797</v>
      </c>
      <c r="B802" s="14">
        <f>'EstExp 12-20'!F65</f>
        <v>34300</v>
      </c>
      <c r="C802" s="5">
        <f t="shared" si="10"/>
        <v>-33503</v>
      </c>
      <c r="D802" s="6"/>
    </row>
    <row r="803" spans="1:4" x14ac:dyDescent="0.2">
      <c r="A803">
        <v>798</v>
      </c>
      <c r="B803" s="14">
        <f>'EstExp 12-20'!F66</f>
        <v>100000</v>
      </c>
      <c r="C803" s="5">
        <f t="shared" si="10"/>
        <v>-99202</v>
      </c>
      <c r="D803" s="6"/>
    </row>
    <row r="804" spans="1:4" x14ac:dyDescent="0.2">
      <c r="A804" s="3">
        <v>799</v>
      </c>
      <c r="D804" s="7"/>
    </row>
    <row r="805" spans="1:4" x14ac:dyDescent="0.2">
      <c r="A805">
        <v>800</v>
      </c>
      <c r="B805" s="14">
        <f>'EstExp 12-20'!F67</f>
        <v>232300</v>
      </c>
      <c r="C805" s="5">
        <f t="shared" si="10"/>
        <v>-231500</v>
      </c>
      <c r="D805" s="6"/>
    </row>
    <row r="806" spans="1:4" x14ac:dyDescent="0.2">
      <c r="A806">
        <v>801</v>
      </c>
      <c r="B806" s="14">
        <f>'EstExp 12-20'!F69</f>
        <v>0</v>
      </c>
      <c r="C806" s="5">
        <f t="shared" si="10"/>
        <v>801</v>
      </c>
      <c r="D806" s="6"/>
    </row>
    <row r="807" spans="1:4" x14ac:dyDescent="0.2">
      <c r="A807">
        <v>802</v>
      </c>
      <c r="B807" s="14">
        <f>'EstExp 12-20'!F70</f>
        <v>4000</v>
      </c>
      <c r="C807" s="5">
        <f t="shared" si="10"/>
        <v>-3198</v>
      </c>
      <c r="D807" s="6"/>
    </row>
    <row r="808" spans="1:4" x14ac:dyDescent="0.2">
      <c r="A808">
        <v>803</v>
      </c>
      <c r="B808" s="14">
        <f>'EstExp 12-20'!F71</f>
        <v>24800</v>
      </c>
      <c r="C808" s="5">
        <f t="shared" si="10"/>
        <v>-23997</v>
      </c>
      <c r="D808" s="6"/>
    </row>
    <row r="809" spans="1:4" x14ac:dyDescent="0.2">
      <c r="A809">
        <v>804</v>
      </c>
      <c r="B809" s="14">
        <f>'EstExp 12-20'!F72</f>
        <v>278100</v>
      </c>
      <c r="C809" s="5">
        <f t="shared" si="10"/>
        <v>-277296</v>
      </c>
      <c r="D809" s="6"/>
    </row>
    <row r="810" spans="1:4" x14ac:dyDescent="0.2">
      <c r="A810" s="3">
        <v>805</v>
      </c>
      <c r="D810" s="7"/>
    </row>
    <row r="811" spans="1:4" x14ac:dyDescent="0.2">
      <c r="A811">
        <v>806</v>
      </c>
      <c r="B811" s="14">
        <f>'EstExp 12-20'!F73</f>
        <v>414700</v>
      </c>
      <c r="C811" s="5">
        <f t="shared" si="10"/>
        <v>-413894</v>
      </c>
      <c r="D811" s="6"/>
    </row>
    <row r="812" spans="1:4" x14ac:dyDescent="0.2">
      <c r="A812" s="3">
        <v>807</v>
      </c>
      <c r="D812" s="7"/>
    </row>
    <row r="813" spans="1:4" x14ac:dyDescent="0.2">
      <c r="A813">
        <v>808</v>
      </c>
      <c r="B813" s="14">
        <f>'EstExp 12-20'!F74</f>
        <v>721600</v>
      </c>
      <c r="C813" s="5">
        <f t="shared" si="10"/>
        <v>-720792</v>
      </c>
      <c r="D813" s="6"/>
    </row>
    <row r="814" spans="1:4" x14ac:dyDescent="0.2">
      <c r="A814">
        <v>809</v>
      </c>
      <c r="B814" s="14">
        <f>'EstExp 12-20'!F75</f>
        <v>200000</v>
      </c>
      <c r="C814" s="5">
        <f t="shared" si="10"/>
        <v>-199191</v>
      </c>
      <c r="D814" s="6"/>
    </row>
    <row r="815" spans="1:4" x14ac:dyDescent="0.2">
      <c r="A815">
        <v>810</v>
      </c>
      <c r="B815" s="14">
        <f>'EstExp 12-20'!F76</f>
        <v>2592950</v>
      </c>
      <c r="C815" s="5">
        <f t="shared" si="10"/>
        <v>-2592140</v>
      </c>
      <c r="D815" s="6"/>
    </row>
    <row r="816" spans="1:4" x14ac:dyDescent="0.2">
      <c r="A816">
        <v>811</v>
      </c>
      <c r="B816" s="14">
        <f>'EstExp 12-20'!F77</f>
        <v>0</v>
      </c>
      <c r="C816" s="5">
        <f t="shared" si="10"/>
        <v>811</v>
      </c>
      <c r="D816" s="6"/>
    </row>
    <row r="817" spans="1:4" x14ac:dyDescent="0.2">
      <c r="A817">
        <v>812</v>
      </c>
      <c r="B817" s="14">
        <f>'EstExp 12-20'!F116</f>
        <v>3786100</v>
      </c>
      <c r="C817" s="5">
        <f t="shared" si="10"/>
        <v>-3785288</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12-20'!G5</f>
        <v>410100</v>
      </c>
      <c r="C823" s="5">
        <f t="shared" si="10"/>
        <v>-409282</v>
      </c>
      <c r="D823" s="6"/>
    </row>
    <row r="824" spans="1:4" x14ac:dyDescent="0.2">
      <c r="A824">
        <v>819</v>
      </c>
      <c r="B824" s="14">
        <f>'EstExp 12-20'!G16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12-20'!G18</f>
        <v>1000</v>
      </c>
      <c r="C830" s="5">
        <f t="shared" si="10"/>
        <v>-175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12-20'!G12</f>
        <v>0</v>
      </c>
      <c r="C834" s="5">
        <f t="shared" si="10"/>
        <v>829</v>
      </c>
      <c r="D834" s="6"/>
    </row>
    <row r="835" spans="1:4" x14ac:dyDescent="0.2">
      <c r="A835">
        <v>830</v>
      </c>
      <c r="B835" s="14">
        <f>'EstExp 12-20'!G13</f>
        <v>45000</v>
      </c>
      <c r="C835" s="5">
        <f t="shared" si="10"/>
        <v>-44170</v>
      </c>
      <c r="D835" s="6"/>
    </row>
    <row r="836" spans="1:4" x14ac:dyDescent="0.2">
      <c r="A836">
        <v>831</v>
      </c>
      <c r="B836" s="14">
        <f>'EstExp 12-20'!G14</f>
        <v>113500</v>
      </c>
      <c r="C836" s="5">
        <f t="shared" si="10"/>
        <v>-112669</v>
      </c>
      <c r="D836" s="6"/>
    </row>
    <row r="837" spans="1:4" x14ac:dyDescent="0.2">
      <c r="A837">
        <v>832</v>
      </c>
      <c r="B837" s="14">
        <f>'EstExp 12-20'!G15</f>
        <v>3500</v>
      </c>
      <c r="C837" s="5">
        <f t="shared" si="10"/>
        <v>-2668</v>
      </c>
      <c r="D837" s="6"/>
    </row>
    <row r="838" spans="1:4" x14ac:dyDescent="0.2">
      <c r="A838">
        <v>833</v>
      </c>
      <c r="B838" s="14">
        <f>'EstExp 12-20'!G34</f>
        <v>664600</v>
      </c>
      <c r="C838" s="5">
        <f t="shared" si="10"/>
        <v>-663767</v>
      </c>
      <c r="D838" s="6"/>
    </row>
    <row r="839" spans="1:4" x14ac:dyDescent="0.2">
      <c r="A839">
        <v>834</v>
      </c>
      <c r="B839" s="14">
        <f>'EstExp 12-20'!G38</f>
        <v>16100</v>
      </c>
      <c r="C839" s="5">
        <f t="shared" si="10"/>
        <v>-15266</v>
      </c>
      <c r="D839" s="6"/>
    </row>
    <row r="840" spans="1:4" x14ac:dyDescent="0.2">
      <c r="A840">
        <v>835</v>
      </c>
      <c r="B840" s="14">
        <f>'EstExp 12-20'!G39</f>
        <v>11000</v>
      </c>
      <c r="C840" s="5">
        <f t="shared" ref="C840:C903" si="11">A840-B840</f>
        <v>-10165</v>
      </c>
      <c r="D840" s="6"/>
    </row>
    <row r="841" spans="1:4" x14ac:dyDescent="0.2">
      <c r="A841">
        <v>836</v>
      </c>
      <c r="B841" s="14">
        <f>'EstExp 12-20'!G40</f>
        <v>23000</v>
      </c>
      <c r="C841" s="5">
        <f t="shared" si="11"/>
        <v>-22164</v>
      </c>
      <c r="D841" s="6"/>
    </row>
    <row r="842" spans="1:4" x14ac:dyDescent="0.2">
      <c r="A842">
        <v>837</v>
      </c>
      <c r="B842" s="14">
        <f>'EstExp 12-20'!G41</f>
        <v>6000</v>
      </c>
      <c r="C842" s="5">
        <f t="shared" si="11"/>
        <v>-5163</v>
      </c>
      <c r="D842" s="6"/>
    </row>
    <row r="843" spans="1:4" x14ac:dyDescent="0.2">
      <c r="A843">
        <v>838</v>
      </c>
      <c r="B843" s="14">
        <f>'EstExp 12-20'!G42</f>
        <v>0</v>
      </c>
      <c r="C843" s="5">
        <f t="shared" si="11"/>
        <v>838</v>
      </c>
      <c r="D843" s="6"/>
    </row>
    <row r="844" spans="1:4" x14ac:dyDescent="0.2">
      <c r="A844">
        <v>839</v>
      </c>
      <c r="B844" s="14">
        <f>'EstExp 12-20'!G43</f>
        <v>118100</v>
      </c>
      <c r="C844" s="5">
        <f t="shared" si="11"/>
        <v>-117261</v>
      </c>
      <c r="D844" s="6"/>
    </row>
    <row r="845" spans="1:4" x14ac:dyDescent="0.2">
      <c r="A845">
        <v>840</v>
      </c>
      <c r="B845" s="14">
        <f>'EstExp 12-20'!G44</f>
        <v>174200</v>
      </c>
      <c r="C845" s="5">
        <f t="shared" si="11"/>
        <v>-173360</v>
      </c>
      <c r="D845" s="6"/>
    </row>
    <row r="846" spans="1:4" x14ac:dyDescent="0.2">
      <c r="A846">
        <v>841</v>
      </c>
      <c r="B846" s="14">
        <f>'EstExp 12-20'!G46</f>
        <v>119000</v>
      </c>
      <c r="C846" s="5">
        <f t="shared" si="11"/>
        <v>-118159</v>
      </c>
      <c r="D846" s="6"/>
    </row>
    <row r="847" spans="1:4" x14ac:dyDescent="0.2">
      <c r="A847">
        <v>842</v>
      </c>
      <c r="B847" s="14">
        <f>'EstExp 12-20'!G47</f>
        <v>451000</v>
      </c>
      <c r="C847" s="5">
        <f t="shared" si="11"/>
        <v>-450158</v>
      </c>
      <c r="D847" s="6"/>
    </row>
    <row r="848" spans="1:4" x14ac:dyDescent="0.2">
      <c r="A848">
        <v>843</v>
      </c>
      <c r="B848" s="14">
        <f>'EstExp 12-20'!G48</f>
        <v>24000</v>
      </c>
      <c r="C848" s="5">
        <f t="shared" si="11"/>
        <v>-23157</v>
      </c>
      <c r="D848" s="6"/>
    </row>
    <row r="849" spans="1:4" x14ac:dyDescent="0.2">
      <c r="A849">
        <v>844</v>
      </c>
      <c r="B849" s="14">
        <f>'EstExp 12-20'!G49</f>
        <v>594000</v>
      </c>
      <c r="C849" s="5">
        <f t="shared" si="11"/>
        <v>-593156</v>
      </c>
      <c r="D849" s="6"/>
    </row>
    <row r="850" spans="1:4" x14ac:dyDescent="0.2">
      <c r="A850">
        <v>845</v>
      </c>
      <c r="B850" s="14">
        <f>'EstExp 12-20'!G51</f>
        <v>0</v>
      </c>
      <c r="C850" s="5">
        <f t="shared" si="11"/>
        <v>845</v>
      </c>
      <c r="D850" s="6"/>
    </row>
    <row r="851" spans="1:4" x14ac:dyDescent="0.2">
      <c r="A851">
        <v>846</v>
      </c>
      <c r="B851" s="14">
        <f>'EstExp 12-20'!G52</f>
        <v>4000</v>
      </c>
      <c r="C851" s="5">
        <f t="shared" si="11"/>
        <v>-3154</v>
      </c>
      <c r="D851" s="6"/>
    </row>
    <row r="852" spans="1:4" x14ac:dyDescent="0.2">
      <c r="A852">
        <v>847</v>
      </c>
      <c r="B852" s="14">
        <f>'EstExp 12-20'!G55</f>
        <v>7000</v>
      </c>
      <c r="C852" s="5">
        <f t="shared" si="11"/>
        <v>-6153</v>
      </c>
      <c r="D852" s="6"/>
    </row>
    <row r="853" spans="1:4" x14ac:dyDescent="0.2">
      <c r="A853">
        <v>848</v>
      </c>
      <c r="B853" s="14">
        <f>'EstExp 12-20'!G57</f>
        <v>41800</v>
      </c>
      <c r="C853" s="5">
        <f t="shared" si="11"/>
        <v>-40952</v>
      </c>
      <c r="D853" s="6"/>
    </row>
    <row r="854" spans="1:4" x14ac:dyDescent="0.2">
      <c r="A854">
        <v>849</v>
      </c>
      <c r="B854" s="14">
        <f>'EstExp 12-20'!G58</f>
        <v>0</v>
      </c>
      <c r="C854" s="5">
        <f t="shared" si="11"/>
        <v>849</v>
      </c>
      <c r="D854" s="6"/>
    </row>
    <row r="855" spans="1:4" x14ac:dyDescent="0.2">
      <c r="A855">
        <v>850</v>
      </c>
      <c r="B855" s="14">
        <f>'EstExp 12-20'!G59</f>
        <v>41800</v>
      </c>
      <c r="C855" s="5">
        <f t="shared" si="11"/>
        <v>-40950</v>
      </c>
      <c r="D855" s="6"/>
    </row>
    <row r="856" spans="1:4" x14ac:dyDescent="0.2">
      <c r="A856">
        <v>851</v>
      </c>
      <c r="B856" s="14">
        <f>'EstExp 12-20'!G61</f>
        <v>6000</v>
      </c>
      <c r="C856" s="5">
        <f t="shared" si="11"/>
        <v>-5149</v>
      </c>
      <c r="D856" s="6"/>
    </row>
    <row r="857" spans="1:4" x14ac:dyDescent="0.2">
      <c r="A857">
        <v>852</v>
      </c>
      <c r="B857" s="14">
        <f>'EstExp 12-20'!G62</f>
        <v>3000</v>
      </c>
      <c r="C857" s="5">
        <f t="shared" si="11"/>
        <v>-2148</v>
      </c>
      <c r="D857" s="6"/>
    </row>
    <row r="858" spans="1:4" x14ac:dyDescent="0.2">
      <c r="A858">
        <v>853</v>
      </c>
      <c r="B858" s="14">
        <f>'EstExp 12-20'!G63</f>
        <v>10000</v>
      </c>
      <c r="C858" s="5">
        <f t="shared" si="11"/>
        <v>-9147</v>
      </c>
      <c r="D858" s="6"/>
    </row>
    <row r="859" spans="1:4" x14ac:dyDescent="0.2">
      <c r="A859">
        <v>854</v>
      </c>
      <c r="B859" s="14">
        <f>'EstExp 12-20'!G64</f>
        <v>0</v>
      </c>
      <c r="C859" s="5">
        <f t="shared" si="11"/>
        <v>854</v>
      </c>
      <c r="D859" s="6"/>
    </row>
    <row r="860" spans="1:4" x14ac:dyDescent="0.2">
      <c r="A860">
        <v>855</v>
      </c>
      <c r="B860" s="14">
        <f>'EstExp 12-20'!G65</f>
        <v>1066750</v>
      </c>
      <c r="C860" s="5">
        <f t="shared" si="11"/>
        <v>-1065895</v>
      </c>
      <c r="D860" s="6"/>
    </row>
    <row r="861" spans="1:4" x14ac:dyDescent="0.2">
      <c r="A861">
        <v>856</v>
      </c>
      <c r="B861" s="14">
        <f>'EstExp 12-20'!G66</f>
        <v>13000</v>
      </c>
      <c r="C861" s="5">
        <f t="shared" si="11"/>
        <v>-12144</v>
      </c>
      <c r="D861" s="6"/>
    </row>
    <row r="862" spans="1:4" x14ac:dyDescent="0.2">
      <c r="A862" s="3">
        <v>857</v>
      </c>
      <c r="D862" s="7"/>
    </row>
    <row r="863" spans="1:4" x14ac:dyDescent="0.2">
      <c r="A863">
        <v>858</v>
      </c>
      <c r="B863" s="14">
        <f>'EstExp 12-20'!G67</f>
        <v>1098750</v>
      </c>
      <c r="C863" s="5">
        <f t="shared" si="11"/>
        <v>-1097892</v>
      </c>
      <c r="D863" s="6"/>
    </row>
    <row r="864" spans="1:4" x14ac:dyDescent="0.2">
      <c r="A864">
        <v>859</v>
      </c>
      <c r="B864" s="14">
        <f>'EstExp 12-20'!G69</f>
        <v>0</v>
      </c>
      <c r="C864" s="5">
        <f t="shared" si="11"/>
        <v>859</v>
      </c>
      <c r="D864" s="6"/>
    </row>
    <row r="865" spans="1:4" x14ac:dyDescent="0.2">
      <c r="A865">
        <v>860</v>
      </c>
      <c r="B865" s="14">
        <f>'EstExp 12-20'!G70</f>
        <v>1500</v>
      </c>
      <c r="C865" s="5">
        <f t="shared" si="11"/>
        <v>-640</v>
      </c>
      <c r="D865" s="6"/>
    </row>
    <row r="866" spans="1:4" x14ac:dyDescent="0.2">
      <c r="A866">
        <v>861</v>
      </c>
      <c r="B866" s="14">
        <f>'EstExp 12-20'!G71</f>
        <v>10100</v>
      </c>
      <c r="C866" s="5">
        <f t="shared" si="11"/>
        <v>-9239</v>
      </c>
      <c r="D866" s="6"/>
    </row>
    <row r="867" spans="1:4" x14ac:dyDescent="0.2">
      <c r="A867">
        <v>862</v>
      </c>
      <c r="B867" s="14">
        <f>'EstExp 12-20'!G72</f>
        <v>18550</v>
      </c>
      <c r="C867" s="5">
        <f t="shared" si="11"/>
        <v>-17688</v>
      </c>
      <c r="D867" s="6"/>
    </row>
    <row r="868" spans="1:4" x14ac:dyDescent="0.2">
      <c r="A868" s="3">
        <v>863</v>
      </c>
      <c r="D868" s="7"/>
    </row>
    <row r="869" spans="1:4" x14ac:dyDescent="0.2">
      <c r="A869">
        <v>864</v>
      </c>
      <c r="B869" s="14">
        <f>'EstExp 12-20'!G73</f>
        <v>25000</v>
      </c>
      <c r="C869" s="5">
        <f t="shared" si="11"/>
        <v>-24136</v>
      </c>
      <c r="D869" s="6"/>
    </row>
    <row r="870" spans="1:4" x14ac:dyDescent="0.2">
      <c r="A870" s="3">
        <v>865</v>
      </c>
      <c r="D870" s="7"/>
    </row>
    <row r="871" spans="1:4" x14ac:dyDescent="0.2">
      <c r="A871">
        <v>866</v>
      </c>
      <c r="B871" s="14">
        <f>'EstExp 12-20'!G74</f>
        <v>55150</v>
      </c>
      <c r="C871" s="5">
        <f t="shared" si="11"/>
        <v>-54284</v>
      </c>
      <c r="D871" s="6"/>
    </row>
    <row r="872" spans="1:4" x14ac:dyDescent="0.2">
      <c r="A872">
        <v>867</v>
      </c>
      <c r="B872" s="14">
        <f>'EstExp 12-20'!G75</f>
        <v>69850</v>
      </c>
      <c r="C872" s="5">
        <f t="shared" si="11"/>
        <v>-68983</v>
      </c>
      <c r="D872" s="6"/>
    </row>
    <row r="873" spans="1:4" x14ac:dyDescent="0.2">
      <c r="A873">
        <v>868</v>
      </c>
      <c r="B873" s="14">
        <f>'EstExp 12-20'!G76</f>
        <v>2040750</v>
      </c>
      <c r="C873" s="5">
        <f t="shared" si="11"/>
        <v>-2039882</v>
      </c>
      <c r="D873" s="6"/>
    </row>
    <row r="874" spans="1:4" x14ac:dyDescent="0.2">
      <c r="A874">
        <v>869</v>
      </c>
      <c r="B874" s="14">
        <f>'EstExp 12-20'!G77</f>
        <v>0</v>
      </c>
      <c r="C874" s="5">
        <f t="shared" si="11"/>
        <v>869</v>
      </c>
      <c r="D874" s="6"/>
    </row>
    <row r="875" spans="1:4" x14ac:dyDescent="0.2">
      <c r="A875">
        <v>870</v>
      </c>
      <c r="B875" s="14">
        <f>'EstExp 12-20'!G116</f>
        <v>2705350</v>
      </c>
      <c r="C875" s="5">
        <f t="shared" si="11"/>
        <v>-2704480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12-20'!H5</f>
        <v>648000</v>
      </c>
      <c r="C881" s="5">
        <f t="shared" si="11"/>
        <v>-647124</v>
      </c>
      <c r="D881" s="6"/>
    </row>
    <row r="882" spans="1:4" x14ac:dyDescent="0.2">
      <c r="A882">
        <v>877</v>
      </c>
      <c r="B882" s="14">
        <f>'EstExp 12-20'!H16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12-20'!H18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12-20'!H12</f>
        <v>0</v>
      </c>
      <c r="C892" s="5">
        <f t="shared" si="11"/>
        <v>887</v>
      </c>
      <c r="D892" s="6"/>
    </row>
    <row r="893" spans="1:4" x14ac:dyDescent="0.2">
      <c r="A893">
        <v>888</v>
      </c>
      <c r="B893" s="14">
        <f>'EstExp 12-20'!H13</f>
        <v>4000</v>
      </c>
      <c r="C893" s="5">
        <f t="shared" si="11"/>
        <v>-3112</v>
      </c>
      <c r="D893" s="6"/>
    </row>
    <row r="894" spans="1:4" x14ac:dyDescent="0.2">
      <c r="A894">
        <v>889</v>
      </c>
      <c r="B894" s="14">
        <f>'EstExp 12-20'!H14</f>
        <v>12000</v>
      </c>
      <c r="C894" s="5">
        <f t="shared" si="11"/>
        <v>-11111</v>
      </c>
      <c r="D894" s="6"/>
    </row>
    <row r="895" spans="1:4" x14ac:dyDescent="0.2">
      <c r="A895">
        <v>890</v>
      </c>
      <c r="B895" s="14">
        <f>'EstExp 12-20'!H15</f>
        <v>0</v>
      </c>
      <c r="C895" s="5">
        <f t="shared" si="11"/>
        <v>890</v>
      </c>
      <c r="D895" s="6"/>
    </row>
    <row r="896" spans="1:4" x14ac:dyDescent="0.2">
      <c r="A896">
        <v>891</v>
      </c>
      <c r="B896" s="14">
        <f>'EstExp 12-20'!H34</f>
        <v>674000</v>
      </c>
      <c r="C896" s="5">
        <f t="shared" si="11"/>
        <v>-673109</v>
      </c>
      <c r="D896" s="6"/>
    </row>
    <row r="897" spans="1:4" x14ac:dyDescent="0.2">
      <c r="A897">
        <v>892</v>
      </c>
      <c r="B897" s="14">
        <f>'EstExp 12-20'!H38</f>
        <v>0</v>
      </c>
      <c r="C897" s="5">
        <f t="shared" si="11"/>
        <v>892</v>
      </c>
      <c r="D897" s="6"/>
    </row>
    <row r="898" spans="1:4" x14ac:dyDescent="0.2">
      <c r="A898">
        <v>893</v>
      </c>
      <c r="B898" s="14">
        <f>'EstExp 12-20'!H39</f>
        <v>0</v>
      </c>
      <c r="C898" s="5">
        <f t="shared" si="11"/>
        <v>893</v>
      </c>
      <c r="D898" s="6"/>
    </row>
    <row r="899" spans="1:4" x14ac:dyDescent="0.2">
      <c r="A899">
        <v>894</v>
      </c>
      <c r="B899" s="14">
        <f>'EstExp 12-20'!H40</f>
        <v>3000</v>
      </c>
      <c r="C899" s="5">
        <f t="shared" si="11"/>
        <v>-2106</v>
      </c>
      <c r="D899" s="6"/>
    </row>
    <row r="900" spans="1:4" x14ac:dyDescent="0.2">
      <c r="A900">
        <v>895</v>
      </c>
      <c r="B900" s="14">
        <f>'EstExp 12-20'!H41</f>
        <v>0</v>
      </c>
      <c r="C900" s="5">
        <f t="shared" si="11"/>
        <v>895</v>
      </c>
      <c r="D900" s="6"/>
    </row>
    <row r="901" spans="1:4" x14ac:dyDescent="0.2">
      <c r="A901">
        <v>896</v>
      </c>
      <c r="B901" s="14">
        <f>'EstExp 12-20'!H42</f>
        <v>0</v>
      </c>
      <c r="C901" s="5">
        <f t="shared" si="11"/>
        <v>896</v>
      </c>
      <c r="D901" s="6"/>
    </row>
    <row r="902" spans="1:4" x14ac:dyDescent="0.2">
      <c r="A902">
        <v>897</v>
      </c>
      <c r="B902" s="14">
        <f>'EstExp 12-20'!H43</f>
        <v>50000</v>
      </c>
      <c r="C902" s="5">
        <f t="shared" si="11"/>
        <v>-49103</v>
      </c>
      <c r="D902" s="6"/>
    </row>
    <row r="903" spans="1:4" x14ac:dyDescent="0.2">
      <c r="A903">
        <v>898</v>
      </c>
      <c r="B903" s="14">
        <f>'EstExp 12-20'!H44</f>
        <v>53000</v>
      </c>
      <c r="C903" s="5">
        <f t="shared" si="11"/>
        <v>-52102</v>
      </c>
      <c r="D903" s="6"/>
    </row>
    <row r="904" spans="1:4" x14ac:dyDescent="0.2">
      <c r="A904">
        <v>899</v>
      </c>
      <c r="B904" s="14">
        <f>'EstExp 12-20'!H46</f>
        <v>3700</v>
      </c>
      <c r="C904" s="5">
        <f t="shared" ref="C904:C967" si="12">A904-B904</f>
        <v>-2801</v>
      </c>
      <c r="D904" s="6"/>
    </row>
    <row r="905" spans="1:4" x14ac:dyDescent="0.2">
      <c r="A905">
        <v>900</v>
      </c>
      <c r="B905" s="14">
        <f>'EstExp 12-20'!H47</f>
        <v>6000</v>
      </c>
      <c r="C905" s="5">
        <f t="shared" si="12"/>
        <v>-5100</v>
      </c>
      <c r="D905" s="6"/>
    </row>
    <row r="906" spans="1:4" x14ac:dyDescent="0.2">
      <c r="A906">
        <v>901</v>
      </c>
      <c r="B906" s="14">
        <f>'EstExp 12-20'!H48</f>
        <v>0</v>
      </c>
      <c r="C906" s="5">
        <f t="shared" si="12"/>
        <v>901</v>
      </c>
      <c r="D906" s="6"/>
    </row>
    <row r="907" spans="1:4" x14ac:dyDescent="0.2">
      <c r="A907">
        <v>902</v>
      </c>
      <c r="B907" s="14">
        <f>'EstExp 12-20'!H49</f>
        <v>9700</v>
      </c>
      <c r="C907" s="5">
        <f t="shared" si="12"/>
        <v>-8798</v>
      </c>
      <c r="D907" s="6"/>
    </row>
    <row r="908" spans="1:4" x14ac:dyDescent="0.2">
      <c r="A908">
        <v>903</v>
      </c>
      <c r="B908" s="14">
        <f>'EstExp 12-20'!H51</f>
        <v>0</v>
      </c>
      <c r="C908" s="5">
        <f t="shared" si="12"/>
        <v>903</v>
      </c>
      <c r="D908" s="6"/>
    </row>
    <row r="909" spans="1:4" x14ac:dyDescent="0.2">
      <c r="A909">
        <v>904</v>
      </c>
      <c r="B909" s="14">
        <f>'EstExp 12-20'!H52</f>
        <v>0</v>
      </c>
      <c r="C909" s="5">
        <f t="shared" si="12"/>
        <v>904</v>
      </c>
      <c r="D909" s="6"/>
    </row>
    <row r="910" spans="1:4" x14ac:dyDescent="0.2">
      <c r="A910">
        <v>905</v>
      </c>
      <c r="B910" s="14">
        <f>'EstExp 12-20'!H55</f>
        <v>0</v>
      </c>
      <c r="C910" s="5">
        <f t="shared" si="12"/>
        <v>905</v>
      </c>
      <c r="D910" s="6"/>
    </row>
    <row r="911" spans="1:4" x14ac:dyDescent="0.2">
      <c r="A911">
        <v>906</v>
      </c>
      <c r="B911" s="14">
        <f>'EstExp 12-20'!H57</f>
        <v>0</v>
      </c>
      <c r="C911" s="5">
        <f t="shared" si="12"/>
        <v>906</v>
      </c>
      <c r="D911" s="6"/>
    </row>
    <row r="912" spans="1:4" x14ac:dyDescent="0.2">
      <c r="A912">
        <v>907</v>
      </c>
      <c r="B912" s="14">
        <f>'EstExp 12-20'!H58</f>
        <v>0</v>
      </c>
      <c r="C912" s="5">
        <f t="shared" si="12"/>
        <v>907</v>
      </c>
      <c r="D912" s="6"/>
    </row>
    <row r="913" spans="1:4" x14ac:dyDescent="0.2">
      <c r="A913">
        <v>908</v>
      </c>
      <c r="B913" s="14">
        <f>'EstExp 12-20'!H59</f>
        <v>0</v>
      </c>
      <c r="C913" s="5">
        <f t="shared" si="12"/>
        <v>908</v>
      </c>
      <c r="D913" s="6"/>
    </row>
    <row r="914" spans="1:4" x14ac:dyDescent="0.2">
      <c r="A914">
        <v>909</v>
      </c>
      <c r="B914" s="14">
        <f>'EstExp 12-20'!H61</f>
        <v>0</v>
      </c>
      <c r="C914" s="5">
        <f t="shared" si="12"/>
        <v>909</v>
      </c>
      <c r="D914" s="6"/>
    </row>
    <row r="915" spans="1:4" x14ac:dyDescent="0.2">
      <c r="A915">
        <v>910</v>
      </c>
      <c r="B915" s="14">
        <f>'EstExp 12-20'!H62</f>
        <v>0</v>
      </c>
      <c r="C915" s="5">
        <f t="shared" si="12"/>
        <v>910</v>
      </c>
      <c r="D915" s="6"/>
    </row>
    <row r="916" spans="1:4" x14ac:dyDescent="0.2">
      <c r="A916">
        <v>911</v>
      </c>
      <c r="B916" s="14">
        <f>'EstExp 12-20'!H63</f>
        <v>0</v>
      </c>
      <c r="C916" s="5">
        <f t="shared" si="12"/>
        <v>911</v>
      </c>
      <c r="D916" s="6"/>
    </row>
    <row r="917" spans="1:4" x14ac:dyDescent="0.2">
      <c r="A917">
        <v>912</v>
      </c>
      <c r="B917" s="14">
        <f>'EstExp 12-20'!H64</f>
        <v>0</v>
      </c>
      <c r="C917" s="5">
        <f t="shared" si="12"/>
        <v>912</v>
      </c>
      <c r="D917" s="6"/>
    </row>
    <row r="918" spans="1:4" x14ac:dyDescent="0.2">
      <c r="A918">
        <v>913</v>
      </c>
      <c r="B918" s="14">
        <f>'EstExp 12-20'!H65</f>
        <v>5000</v>
      </c>
      <c r="C918" s="5">
        <f t="shared" si="12"/>
        <v>-4087</v>
      </c>
      <c r="D918" s="6"/>
    </row>
    <row r="919" spans="1:4" x14ac:dyDescent="0.2">
      <c r="A919">
        <v>914</v>
      </c>
      <c r="B919" s="14">
        <f>'EstExp 12-20'!H66</f>
        <v>0</v>
      </c>
      <c r="C919" s="5">
        <f t="shared" si="12"/>
        <v>914</v>
      </c>
      <c r="D919" s="6"/>
    </row>
    <row r="920" spans="1:4" x14ac:dyDescent="0.2">
      <c r="A920" s="3">
        <v>915</v>
      </c>
      <c r="D920" s="7"/>
    </row>
    <row r="921" spans="1:4" x14ac:dyDescent="0.2">
      <c r="A921">
        <v>916</v>
      </c>
      <c r="B921" s="14">
        <f>'EstExp 12-20'!H67</f>
        <v>5000</v>
      </c>
      <c r="C921" s="5">
        <f t="shared" si="12"/>
        <v>-4084</v>
      </c>
      <c r="D921" s="6"/>
    </row>
    <row r="922" spans="1:4" x14ac:dyDescent="0.2">
      <c r="A922">
        <v>917</v>
      </c>
      <c r="B922" s="14">
        <f>'EstExp 12-20'!H69</f>
        <v>0</v>
      </c>
      <c r="C922" s="5">
        <f t="shared" si="12"/>
        <v>917</v>
      </c>
      <c r="D922" s="6"/>
    </row>
    <row r="923" spans="1:4" x14ac:dyDescent="0.2">
      <c r="A923">
        <v>918</v>
      </c>
      <c r="B923" s="14">
        <f>'EstExp 12-20'!H70</f>
        <v>0</v>
      </c>
      <c r="C923" s="5">
        <f t="shared" si="12"/>
        <v>918</v>
      </c>
      <c r="D923" s="6"/>
    </row>
    <row r="924" spans="1:4" x14ac:dyDescent="0.2">
      <c r="A924">
        <v>919</v>
      </c>
      <c r="B924" s="14">
        <f>'EstExp 12-20'!H71</f>
        <v>0</v>
      </c>
      <c r="C924" s="5">
        <f t="shared" si="12"/>
        <v>919</v>
      </c>
      <c r="D924" s="6"/>
    </row>
    <row r="925" spans="1:4" x14ac:dyDescent="0.2">
      <c r="A925">
        <v>920</v>
      </c>
      <c r="B925" s="14">
        <f>'EstExp 12-20'!H72</f>
        <v>0</v>
      </c>
      <c r="C925" s="5">
        <f t="shared" si="12"/>
        <v>920</v>
      </c>
      <c r="D925" s="6"/>
    </row>
    <row r="926" spans="1:4" x14ac:dyDescent="0.2">
      <c r="A926" s="3">
        <v>921</v>
      </c>
      <c r="D926" s="7"/>
    </row>
    <row r="927" spans="1:4" x14ac:dyDescent="0.2">
      <c r="A927">
        <v>922</v>
      </c>
      <c r="B927" s="14">
        <f>'EstExp 12-20'!H73</f>
        <v>72000</v>
      </c>
      <c r="C927" s="5">
        <f t="shared" si="12"/>
        <v>-71078</v>
      </c>
      <c r="D927" s="6"/>
    </row>
    <row r="928" spans="1:4" x14ac:dyDescent="0.2">
      <c r="A928" s="3">
        <v>923</v>
      </c>
      <c r="D928" s="7"/>
    </row>
    <row r="929" spans="1:4" x14ac:dyDescent="0.2">
      <c r="A929">
        <v>924</v>
      </c>
      <c r="B929" s="14">
        <f>'EstExp 12-20'!H74</f>
        <v>72000</v>
      </c>
      <c r="C929" s="5">
        <f t="shared" si="12"/>
        <v>-71076</v>
      </c>
      <c r="D929" s="6"/>
    </row>
    <row r="930" spans="1:4" x14ac:dyDescent="0.2">
      <c r="A930">
        <v>925</v>
      </c>
      <c r="B930" s="14">
        <f>'EstExp 12-20'!H75</f>
        <v>20000</v>
      </c>
      <c r="C930" s="5">
        <f t="shared" si="12"/>
        <v>-19075</v>
      </c>
      <c r="D930" s="6"/>
    </row>
    <row r="931" spans="1:4" x14ac:dyDescent="0.2">
      <c r="A931">
        <v>926</v>
      </c>
      <c r="B931" s="14">
        <f>'EstExp 12-20'!H76</f>
        <v>159700</v>
      </c>
      <c r="C931" s="5">
        <f t="shared" si="12"/>
        <v>-158774</v>
      </c>
      <c r="D931" s="6"/>
    </row>
    <row r="932" spans="1:4" x14ac:dyDescent="0.2">
      <c r="A932">
        <v>927</v>
      </c>
      <c r="B932" s="14">
        <f>'EstExp 12-20'!H77</f>
        <v>0</v>
      </c>
      <c r="C932" s="5">
        <f t="shared" si="12"/>
        <v>927</v>
      </c>
      <c r="D932" s="6"/>
    </row>
    <row r="933" spans="1:4" x14ac:dyDescent="0.2">
      <c r="A933">
        <v>928</v>
      </c>
      <c r="B933" s="14">
        <f>'EstExp 12-20'!H116</f>
        <v>833700</v>
      </c>
      <c r="C933" s="5">
        <f t="shared" si="12"/>
        <v>-832772</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12-20'!I5</f>
        <v>380000</v>
      </c>
      <c r="C939" s="5">
        <f t="shared" si="12"/>
        <v>-379066</v>
      </c>
      <c r="D939" s="6"/>
    </row>
    <row r="940" spans="1:4" x14ac:dyDescent="0.2">
      <c r="A940">
        <v>935</v>
      </c>
      <c r="B940" s="14">
        <f>'EstExp 12-20'!I16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12-20'!I18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12-20'!I12</f>
        <v>0</v>
      </c>
      <c r="C950" s="5">
        <f t="shared" si="12"/>
        <v>945</v>
      </c>
      <c r="D950" s="6"/>
    </row>
    <row r="951" spans="1:4" x14ac:dyDescent="0.2">
      <c r="A951">
        <v>946</v>
      </c>
      <c r="B951" s="14">
        <f>'EstExp 12-20'!I13</f>
        <v>0</v>
      </c>
      <c r="C951" s="5">
        <f t="shared" si="12"/>
        <v>946</v>
      </c>
      <c r="D951" s="6"/>
    </row>
    <row r="952" spans="1:4" x14ac:dyDescent="0.2">
      <c r="A952">
        <v>947</v>
      </c>
      <c r="B952" s="14">
        <f>'EstExp 12-20'!I14</f>
        <v>0</v>
      </c>
      <c r="C952" s="5">
        <f t="shared" si="12"/>
        <v>947</v>
      </c>
      <c r="D952" s="6"/>
    </row>
    <row r="953" spans="1:4" x14ac:dyDescent="0.2">
      <c r="A953">
        <v>948</v>
      </c>
      <c r="B953" s="14">
        <f>'EstExp 12-20'!I15</f>
        <v>0</v>
      </c>
      <c r="C953" s="5">
        <f t="shared" si="12"/>
        <v>948</v>
      </c>
      <c r="D953" s="6"/>
    </row>
    <row r="954" spans="1:4" x14ac:dyDescent="0.2">
      <c r="A954">
        <v>949</v>
      </c>
      <c r="B954" s="14">
        <f>'EstExp 12-20'!I34</f>
        <v>4820000</v>
      </c>
      <c r="C954" s="5">
        <f t="shared" si="12"/>
        <v>-4819051</v>
      </c>
      <c r="D954" s="6"/>
    </row>
    <row r="955" spans="1:4" x14ac:dyDescent="0.2">
      <c r="A955">
        <v>950</v>
      </c>
      <c r="B955" s="14">
        <f>'EstExp 12-20'!I38</f>
        <v>0</v>
      </c>
      <c r="C955" s="5">
        <f t="shared" si="12"/>
        <v>950</v>
      </c>
      <c r="D955" s="6"/>
    </row>
    <row r="956" spans="1:4" x14ac:dyDescent="0.2">
      <c r="A956">
        <v>951</v>
      </c>
      <c r="B956" s="14">
        <f>'EstExp 12-20'!I39</f>
        <v>1600</v>
      </c>
      <c r="C956" s="5">
        <f t="shared" si="12"/>
        <v>-649</v>
      </c>
      <c r="D956" s="6"/>
    </row>
    <row r="957" spans="1:4" x14ac:dyDescent="0.2">
      <c r="A957">
        <v>952</v>
      </c>
      <c r="B957" s="14">
        <f>'EstExp 12-20'!I40</f>
        <v>0</v>
      </c>
      <c r="C957" s="5">
        <f t="shared" si="12"/>
        <v>952</v>
      </c>
      <c r="D957" s="6"/>
    </row>
    <row r="958" spans="1:4" x14ac:dyDescent="0.2">
      <c r="A958">
        <v>953</v>
      </c>
      <c r="B958" s="14">
        <f>'EstExp 12-20'!I41</f>
        <v>0</v>
      </c>
      <c r="C958" s="5">
        <f t="shared" si="12"/>
        <v>953</v>
      </c>
      <c r="D958" s="6"/>
    </row>
    <row r="959" spans="1:4" x14ac:dyDescent="0.2">
      <c r="A959">
        <v>954</v>
      </c>
      <c r="B959" s="14">
        <f>'EstExp 12-20'!I42</f>
        <v>0</v>
      </c>
      <c r="C959" s="5">
        <f t="shared" si="12"/>
        <v>954</v>
      </c>
      <c r="D959" s="6"/>
    </row>
    <row r="960" spans="1:4" x14ac:dyDescent="0.2">
      <c r="A960">
        <v>955</v>
      </c>
      <c r="B960" s="14">
        <f>'EstExp 12-20'!I43</f>
        <v>15000</v>
      </c>
      <c r="C960" s="5">
        <f t="shared" si="12"/>
        <v>-14045</v>
      </c>
      <c r="D960" s="6"/>
    </row>
    <row r="961" spans="1:4" x14ac:dyDescent="0.2">
      <c r="A961">
        <v>956</v>
      </c>
      <c r="B961" s="14">
        <f>'EstExp 12-20'!I44</f>
        <v>16600</v>
      </c>
      <c r="C961" s="5">
        <f t="shared" si="12"/>
        <v>-15644</v>
      </c>
      <c r="D961" s="6"/>
    </row>
    <row r="962" spans="1:4" x14ac:dyDescent="0.2">
      <c r="A962">
        <v>957</v>
      </c>
      <c r="B962" s="14">
        <f>'EstExp 12-20'!I46</f>
        <v>10200</v>
      </c>
      <c r="C962" s="5">
        <f t="shared" si="12"/>
        <v>-9243</v>
      </c>
      <c r="D962" s="6"/>
    </row>
    <row r="963" spans="1:4" x14ac:dyDescent="0.2">
      <c r="A963">
        <v>958</v>
      </c>
      <c r="B963" s="14">
        <f>'EstExp 12-20'!I47</f>
        <v>0</v>
      </c>
      <c r="C963" s="5">
        <f t="shared" si="12"/>
        <v>958</v>
      </c>
      <c r="D963" s="6"/>
    </row>
    <row r="964" spans="1:4" x14ac:dyDescent="0.2">
      <c r="A964">
        <v>959</v>
      </c>
      <c r="B964" s="14">
        <f>'EstExp 12-20'!I48</f>
        <v>0</v>
      </c>
      <c r="C964" s="5">
        <f t="shared" si="12"/>
        <v>959</v>
      </c>
      <c r="D964" s="6"/>
    </row>
    <row r="965" spans="1:4" x14ac:dyDescent="0.2">
      <c r="A965">
        <v>960</v>
      </c>
      <c r="B965" s="14">
        <f>'EstExp 12-20'!I49</f>
        <v>10200</v>
      </c>
      <c r="C965" s="5">
        <f t="shared" si="12"/>
        <v>-9240</v>
      </c>
      <c r="D965" s="6"/>
    </row>
    <row r="966" spans="1:4" x14ac:dyDescent="0.2">
      <c r="A966">
        <v>961</v>
      </c>
      <c r="B966" s="14">
        <f>'EstExp 12-20'!I51</f>
        <v>137500</v>
      </c>
      <c r="C966" s="5">
        <f t="shared" si="12"/>
        <v>-136539</v>
      </c>
      <c r="D966" s="6"/>
    </row>
    <row r="967" spans="1:4" x14ac:dyDescent="0.2">
      <c r="A967">
        <v>962</v>
      </c>
      <c r="B967" s="14">
        <f>'EstExp 12-20'!I52</f>
        <v>1500</v>
      </c>
      <c r="C967" s="5">
        <f t="shared" si="12"/>
        <v>-538</v>
      </c>
      <c r="D967" s="6"/>
    </row>
    <row r="968" spans="1:4" x14ac:dyDescent="0.2">
      <c r="A968">
        <v>963</v>
      </c>
      <c r="B968" s="14">
        <f>'EstExp 12-20'!I55</f>
        <v>139000</v>
      </c>
      <c r="C968" s="5">
        <f t="shared" ref="C968:C998" si="13">A968-B968</f>
        <v>-138037</v>
      </c>
      <c r="D968" s="6"/>
    </row>
    <row r="969" spans="1:4" x14ac:dyDescent="0.2">
      <c r="A969">
        <v>964</v>
      </c>
      <c r="B969" s="14">
        <f>'EstExp 12-20'!I57</f>
        <v>0</v>
      </c>
      <c r="C969" s="5">
        <f t="shared" si="13"/>
        <v>964</v>
      </c>
      <c r="D969" s="6"/>
    </row>
    <row r="970" spans="1:4" x14ac:dyDescent="0.2">
      <c r="A970">
        <v>965</v>
      </c>
      <c r="B970" s="14">
        <f>'EstExp 12-20'!I58</f>
        <v>0</v>
      </c>
      <c r="C970" s="5">
        <f t="shared" si="13"/>
        <v>965</v>
      </c>
      <c r="D970" s="6"/>
    </row>
    <row r="971" spans="1:4" x14ac:dyDescent="0.2">
      <c r="A971">
        <v>966</v>
      </c>
      <c r="B971" s="14">
        <f>'EstExp 12-20'!I59</f>
        <v>0</v>
      </c>
      <c r="C971" s="5">
        <f t="shared" si="13"/>
        <v>966</v>
      </c>
      <c r="D971" s="6"/>
    </row>
    <row r="972" spans="1:4" x14ac:dyDescent="0.2">
      <c r="A972">
        <v>967</v>
      </c>
      <c r="B972" s="14">
        <f>'EstExp 12-20'!I61</f>
        <v>5000</v>
      </c>
      <c r="C972" s="5">
        <f t="shared" si="13"/>
        <v>-4033</v>
      </c>
      <c r="D972" s="6"/>
    </row>
    <row r="973" spans="1:4" x14ac:dyDescent="0.2">
      <c r="A973">
        <v>968</v>
      </c>
      <c r="B973" s="14">
        <f>'EstExp 12-20'!I62</f>
        <v>53000</v>
      </c>
      <c r="C973" s="5">
        <f t="shared" si="13"/>
        <v>-52032</v>
      </c>
      <c r="D973" s="6"/>
    </row>
    <row r="974" spans="1:4" x14ac:dyDescent="0.2">
      <c r="A974">
        <v>969</v>
      </c>
      <c r="B974" s="14">
        <f>'EstExp 12-20'!I63</f>
        <v>0</v>
      </c>
      <c r="C974" s="5">
        <f t="shared" si="13"/>
        <v>969</v>
      </c>
      <c r="D974" s="6"/>
    </row>
    <row r="975" spans="1:4" x14ac:dyDescent="0.2">
      <c r="A975">
        <v>970</v>
      </c>
      <c r="B975" s="14">
        <f>'EstExp 12-20'!I64</f>
        <v>0</v>
      </c>
      <c r="C975" s="5">
        <f t="shared" si="13"/>
        <v>970</v>
      </c>
      <c r="D975" s="6"/>
    </row>
    <row r="976" spans="1:4" x14ac:dyDescent="0.2">
      <c r="A976">
        <v>971</v>
      </c>
      <c r="B976" s="14">
        <f>'EstExp 12-20'!I65</f>
        <v>0</v>
      </c>
      <c r="C976" s="5">
        <f t="shared" si="13"/>
        <v>971</v>
      </c>
      <c r="D976" s="6"/>
    </row>
    <row r="977" spans="1:4" x14ac:dyDescent="0.2">
      <c r="A977">
        <v>972</v>
      </c>
      <c r="B977" s="14">
        <f>'EstExp 12-20'!I66</f>
        <v>0</v>
      </c>
      <c r="C977" s="5">
        <f t="shared" si="13"/>
        <v>972</v>
      </c>
      <c r="D977" s="6"/>
    </row>
    <row r="978" spans="1:4" x14ac:dyDescent="0.2">
      <c r="A978" s="3">
        <v>973</v>
      </c>
      <c r="D978" s="7"/>
    </row>
    <row r="979" spans="1:4" x14ac:dyDescent="0.2">
      <c r="A979">
        <v>974</v>
      </c>
      <c r="B979" s="14">
        <f>'EstExp 12-20'!I67</f>
        <v>58000</v>
      </c>
      <c r="C979" s="5">
        <f t="shared" si="13"/>
        <v>-57026</v>
      </c>
      <c r="D979" s="6"/>
    </row>
    <row r="980" spans="1:4" x14ac:dyDescent="0.2">
      <c r="A980">
        <v>975</v>
      </c>
      <c r="B980" s="14">
        <f>'EstExp 12-20'!I69</f>
        <v>0</v>
      </c>
      <c r="C980" s="5">
        <f t="shared" si="13"/>
        <v>975</v>
      </c>
      <c r="D980" s="6"/>
    </row>
    <row r="981" spans="1:4" x14ac:dyDescent="0.2">
      <c r="A981">
        <v>976</v>
      </c>
      <c r="B981" s="14">
        <f>'EstExp 12-20'!I70</f>
        <v>0</v>
      </c>
      <c r="C981" s="5">
        <f t="shared" si="13"/>
        <v>976</v>
      </c>
      <c r="D981" s="6"/>
    </row>
    <row r="982" spans="1:4" x14ac:dyDescent="0.2">
      <c r="A982">
        <v>977</v>
      </c>
      <c r="B982" s="14">
        <f>'EstExp 12-20'!I71</f>
        <v>0</v>
      </c>
      <c r="C982" s="5">
        <f t="shared" si="13"/>
        <v>977</v>
      </c>
      <c r="D982" s="6"/>
    </row>
    <row r="983" spans="1:4" x14ac:dyDescent="0.2">
      <c r="A983">
        <v>978</v>
      </c>
      <c r="B983" s="14">
        <f>'EstExp 12-20'!I72</f>
        <v>0</v>
      </c>
      <c r="C983" s="5">
        <f t="shared" si="13"/>
        <v>978</v>
      </c>
      <c r="D983" s="6"/>
    </row>
    <row r="984" spans="1:4" x14ac:dyDescent="0.2">
      <c r="A984" s="3">
        <v>979</v>
      </c>
      <c r="D984" s="7"/>
    </row>
    <row r="985" spans="1:4" x14ac:dyDescent="0.2">
      <c r="A985">
        <v>980</v>
      </c>
      <c r="B985" s="14">
        <f>'EstExp 12-20'!I73</f>
        <v>0</v>
      </c>
      <c r="C985" s="5">
        <f t="shared" si="13"/>
        <v>980</v>
      </c>
      <c r="D985" s="6"/>
    </row>
    <row r="986" spans="1:4" x14ac:dyDescent="0.2">
      <c r="A986" s="3">
        <v>981</v>
      </c>
      <c r="D986" s="7"/>
    </row>
    <row r="987" spans="1:4" x14ac:dyDescent="0.2">
      <c r="A987">
        <v>982</v>
      </c>
      <c r="B987" s="14">
        <f>'EstExp 12-20'!I74</f>
        <v>0</v>
      </c>
      <c r="C987" s="5">
        <f t="shared" si="13"/>
        <v>982</v>
      </c>
      <c r="D987" s="6"/>
    </row>
    <row r="988" spans="1:4" x14ac:dyDescent="0.2">
      <c r="A988">
        <v>983</v>
      </c>
      <c r="B988" s="14">
        <f>'EstExp 12-20'!I75</f>
        <v>1500000</v>
      </c>
      <c r="C988" s="5">
        <f t="shared" si="13"/>
        <v>-1499017</v>
      </c>
      <c r="D988" s="6"/>
    </row>
    <row r="989" spans="1:4" x14ac:dyDescent="0.2">
      <c r="A989">
        <v>984</v>
      </c>
      <c r="B989" s="14">
        <f>'EstExp 12-20'!I76</f>
        <v>1723800</v>
      </c>
      <c r="C989" s="5">
        <f t="shared" si="13"/>
        <v>-1722816</v>
      </c>
      <c r="D989" s="6"/>
    </row>
    <row r="990" spans="1:4" x14ac:dyDescent="0.2">
      <c r="A990">
        <v>985</v>
      </c>
      <c r="B990" s="14">
        <f>'EstExp 12-20'!I77</f>
        <v>0</v>
      </c>
      <c r="C990" s="5">
        <f t="shared" si="13"/>
        <v>985</v>
      </c>
      <c r="D990" s="6"/>
    </row>
    <row r="991" spans="1:4" x14ac:dyDescent="0.2">
      <c r="A991">
        <v>986</v>
      </c>
      <c r="B991" s="15">
        <f>'EstExp 12-20'!I104</f>
        <v>1202000</v>
      </c>
      <c r="C991" s="5">
        <f t="shared" si="13"/>
        <v>-1201014</v>
      </c>
      <c r="D991" s="6"/>
    </row>
    <row r="992" spans="1:4" x14ac:dyDescent="0.2">
      <c r="A992">
        <v>987</v>
      </c>
      <c r="B992" s="14">
        <f>'EstExp 12-20'!I107</f>
        <v>0</v>
      </c>
      <c r="C992" s="5">
        <f t="shared" si="13"/>
        <v>987</v>
      </c>
      <c r="D992" s="6"/>
    </row>
    <row r="993" spans="1:4" x14ac:dyDescent="0.2">
      <c r="A993">
        <v>988</v>
      </c>
      <c r="B993" s="14">
        <f>'EstExp 12-20'!I108</f>
        <v>0</v>
      </c>
      <c r="C993" s="5">
        <f t="shared" si="13"/>
        <v>988</v>
      </c>
      <c r="D993" s="6"/>
    </row>
    <row r="994" spans="1:4" x14ac:dyDescent="0.2">
      <c r="A994" s="3">
        <v>989</v>
      </c>
      <c r="D994" s="6" t="s">
        <v>299</v>
      </c>
    </row>
    <row r="995" spans="1:4" x14ac:dyDescent="0.2">
      <c r="A995">
        <v>990</v>
      </c>
      <c r="B995" s="14">
        <f>'EstExp 12-20'!I111</f>
        <v>0</v>
      </c>
      <c r="C995" s="5">
        <f t="shared" si="13"/>
        <v>990</v>
      </c>
      <c r="D995" s="6"/>
    </row>
    <row r="996" spans="1:4" x14ac:dyDescent="0.2">
      <c r="A996" s="3">
        <v>991</v>
      </c>
      <c r="D996" s="7"/>
    </row>
    <row r="997" spans="1:4" x14ac:dyDescent="0.2">
      <c r="A997">
        <v>992</v>
      </c>
      <c r="B997" s="14">
        <f>'EstExp 12-20'!I114</f>
        <v>0</v>
      </c>
      <c r="C997" s="5">
        <f t="shared" si="13"/>
        <v>992</v>
      </c>
      <c r="D997" s="6"/>
    </row>
    <row r="998" spans="1:4" x14ac:dyDescent="0.2">
      <c r="A998">
        <v>993</v>
      </c>
      <c r="B998" s="14">
        <f>'EstExp 12-20'!I116</f>
        <v>7745800</v>
      </c>
      <c r="C998" s="5">
        <f t="shared" si="13"/>
        <v>-7744807</v>
      </c>
      <c r="D998" s="6"/>
    </row>
    <row r="999" spans="1:4" x14ac:dyDescent="0.2">
      <c r="A999" s="3">
        <v>994</v>
      </c>
      <c r="D999" s="7"/>
    </row>
    <row r="1000" spans="1:4" x14ac:dyDescent="0.2">
      <c r="A1000" s="3">
        <v>995</v>
      </c>
      <c r="D1000" s="6" t="s">
        <v>299</v>
      </c>
    </row>
    <row r="1001" spans="1:4" x14ac:dyDescent="0.2">
      <c r="A1001" s="3">
        <v>996</v>
      </c>
      <c r="D1001" s="6" t="s">
        <v>299</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299</v>
      </c>
    </row>
    <row r="1008" spans="1:4" x14ac:dyDescent="0.2">
      <c r="A1008" s="3">
        <v>1003</v>
      </c>
      <c r="D1008" s="6" t="s">
        <v>299</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299</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299</v>
      </c>
    </row>
    <row r="1019" spans="1:4" x14ac:dyDescent="0.2">
      <c r="A1019" s="3">
        <v>1014</v>
      </c>
      <c r="D1019" s="6" t="s">
        <v>299</v>
      </c>
    </row>
    <row r="1020" spans="1:4" x14ac:dyDescent="0.2">
      <c r="A1020" s="3">
        <v>1015</v>
      </c>
      <c r="D1020" s="6" t="s">
        <v>299</v>
      </c>
    </row>
    <row r="1021" spans="1:4" x14ac:dyDescent="0.2">
      <c r="A1021" s="3">
        <v>1016</v>
      </c>
      <c r="D1021" s="6" t="s">
        <v>299</v>
      </c>
    </row>
    <row r="1022" spans="1:4" x14ac:dyDescent="0.2">
      <c r="A1022" s="3">
        <v>1017</v>
      </c>
      <c r="D1022" s="6" t="s">
        <v>299</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299</v>
      </c>
    </row>
    <row r="1031" spans="1:4" x14ac:dyDescent="0.2">
      <c r="A1031" s="3">
        <v>1026</v>
      </c>
      <c r="D1031" s="6" t="s">
        <v>299</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12-20'!L5</f>
        <v>33117300</v>
      </c>
      <c r="C1037" s="5">
        <f t="shared" ref="C1037:C1095" si="14">A1037-B1037</f>
        <v>-33116268</v>
      </c>
      <c r="D1037" s="6"/>
    </row>
    <row r="1038" spans="1:4" x14ac:dyDescent="0.2">
      <c r="A1038">
        <v>1033</v>
      </c>
      <c r="B1038" s="14">
        <f>'EstExp 12-20'!L16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12-20'!L18</f>
        <v>293000</v>
      </c>
      <c r="C1044" s="5">
        <f t="shared" si="14"/>
        <v>-291961</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12-20'!L12</f>
        <v>129000</v>
      </c>
      <c r="C1048" s="5">
        <f t="shared" si="14"/>
        <v>-127957</v>
      </c>
      <c r="D1048" s="6"/>
    </row>
    <row r="1049" spans="1:4" x14ac:dyDescent="0.2">
      <c r="A1049">
        <v>1044</v>
      </c>
      <c r="B1049" s="14">
        <f>'EstExp 12-20'!L13</f>
        <v>2831600</v>
      </c>
      <c r="C1049" s="5">
        <f t="shared" si="14"/>
        <v>-2830556</v>
      </c>
      <c r="D1049" s="6"/>
    </row>
    <row r="1050" spans="1:4" x14ac:dyDescent="0.2">
      <c r="A1050">
        <v>1045</v>
      </c>
      <c r="B1050" s="14">
        <f>'EstExp 12-20'!L14</f>
        <v>2071500</v>
      </c>
      <c r="C1050" s="5">
        <f t="shared" si="14"/>
        <v>-2070455</v>
      </c>
      <c r="D1050" s="6"/>
    </row>
    <row r="1051" spans="1:4" x14ac:dyDescent="0.2">
      <c r="A1051">
        <v>1046</v>
      </c>
      <c r="B1051" s="14">
        <f>'EstExp 12-20'!L15</f>
        <v>391000</v>
      </c>
      <c r="C1051" s="5">
        <f t="shared" si="14"/>
        <v>-389954</v>
      </c>
      <c r="D1051" s="6"/>
    </row>
    <row r="1052" spans="1:4" x14ac:dyDescent="0.2">
      <c r="A1052">
        <v>1047</v>
      </c>
      <c r="B1052" s="14">
        <f>'EstExp 12-20'!L34</f>
        <v>52205850</v>
      </c>
      <c r="C1052" s="5">
        <f t="shared" si="14"/>
        <v>-52204803</v>
      </c>
      <c r="D1052" s="6"/>
    </row>
    <row r="1053" spans="1:4" x14ac:dyDescent="0.2">
      <c r="A1053">
        <v>1048</v>
      </c>
      <c r="B1053" s="14">
        <f>'EstExp 12-20'!L38</f>
        <v>1356700</v>
      </c>
      <c r="C1053" s="5">
        <f t="shared" si="14"/>
        <v>-1355652</v>
      </c>
      <c r="D1053" s="6"/>
    </row>
    <row r="1054" spans="1:4" x14ac:dyDescent="0.2">
      <c r="A1054">
        <v>1049</v>
      </c>
      <c r="B1054" s="14">
        <f>'EstExp 12-20'!L39</f>
        <v>2948900</v>
      </c>
      <c r="C1054" s="5">
        <f t="shared" si="14"/>
        <v>-2947851</v>
      </c>
      <c r="D1054" s="6"/>
    </row>
    <row r="1055" spans="1:4" x14ac:dyDescent="0.2">
      <c r="A1055">
        <v>1050</v>
      </c>
      <c r="B1055" s="14">
        <f>'EstExp 12-20'!L40</f>
        <v>484700</v>
      </c>
      <c r="C1055" s="5">
        <f t="shared" si="14"/>
        <v>-483650</v>
      </c>
      <c r="D1055" s="6"/>
    </row>
    <row r="1056" spans="1:4" x14ac:dyDescent="0.2">
      <c r="A1056">
        <v>1051</v>
      </c>
      <c r="B1056" s="14">
        <f>'EstExp 12-20'!L41</f>
        <v>587100</v>
      </c>
      <c r="C1056" s="5">
        <f t="shared" si="14"/>
        <v>-586049</v>
      </c>
      <c r="D1056" s="6"/>
    </row>
    <row r="1057" spans="1:4" x14ac:dyDescent="0.2">
      <c r="A1057">
        <v>1052</v>
      </c>
      <c r="B1057" s="14">
        <f>'EstExp 12-20'!L42</f>
        <v>0</v>
      </c>
      <c r="C1057" s="5">
        <f t="shared" si="14"/>
        <v>1052</v>
      </c>
      <c r="D1057" s="6"/>
    </row>
    <row r="1058" spans="1:4" x14ac:dyDescent="0.2">
      <c r="A1058">
        <v>1053</v>
      </c>
      <c r="B1058" s="14">
        <f>'EstExp 12-20'!L43</f>
        <v>3788500</v>
      </c>
      <c r="C1058" s="5">
        <f t="shared" si="14"/>
        <v>-3787447</v>
      </c>
      <c r="D1058" s="6"/>
    </row>
    <row r="1059" spans="1:4" x14ac:dyDescent="0.2">
      <c r="A1059">
        <v>1054</v>
      </c>
      <c r="B1059" s="14">
        <f>'EstExp 12-20'!L44</f>
        <v>9165900</v>
      </c>
      <c r="C1059" s="5">
        <f t="shared" si="14"/>
        <v>-9164846</v>
      </c>
      <c r="D1059" s="6"/>
    </row>
    <row r="1060" spans="1:4" x14ac:dyDescent="0.2">
      <c r="A1060">
        <v>1055</v>
      </c>
      <c r="B1060" s="14">
        <f>'EstExp 12-20'!L46</f>
        <v>643400</v>
      </c>
      <c r="C1060" s="5">
        <f t="shared" si="14"/>
        <v>-642345</v>
      </c>
      <c r="D1060" s="6"/>
    </row>
    <row r="1061" spans="1:4" x14ac:dyDescent="0.2">
      <c r="A1061">
        <v>1056</v>
      </c>
      <c r="B1061" s="14">
        <f>'EstExp 12-20'!L47</f>
        <v>1319750</v>
      </c>
      <c r="C1061" s="5">
        <f t="shared" si="14"/>
        <v>-1318694</v>
      </c>
      <c r="D1061" s="6"/>
    </row>
    <row r="1062" spans="1:4" x14ac:dyDescent="0.2">
      <c r="A1062">
        <v>1057</v>
      </c>
      <c r="B1062" s="14">
        <f>'EstExp 12-20'!L48</f>
        <v>215000</v>
      </c>
      <c r="C1062" s="5">
        <f t="shared" si="14"/>
        <v>-213943</v>
      </c>
      <c r="D1062" s="6"/>
    </row>
    <row r="1063" spans="1:4" x14ac:dyDescent="0.2">
      <c r="A1063">
        <v>1058</v>
      </c>
      <c r="B1063" s="14">
        <f>'EstExp 12-20'!L49</f>
        <v>2178150</v>
      </c>
      <c r="C1063" s="5">
        <f t="shared" si="14"/>
        <v>-2177092</v>
      </c>
      <c r="D1063" s="6"/>
    </row>
    <row r="1064" spans="1:4" x14ac:dyDescent="0.2">
      <c r="A1064">
        <v>1059</v>
      </c>
      <c r="B1064" s="14">
        <f>'EstExp 12-20'!L51</f>
        <v>1377500</v>
      </c>
      <c r="C1064" s="5">
        <f t="shared" si="14"/>
        <v>-1376441</v>
      </c>
      <c r="D1064" s="6"/>
    </row>
    <row r="1065" spans="1:4" x14ac:dyDescent="0.2">
      <c r="A1065">
        <v>1060</v>
      </c>
      <c r="B1065" s="14">
        <f>'EstExp 12-20'!L52</f>
        <v>597000</v>
      </c>
      <c r="C1065" s="5">
        <f t="shared" si="14"/>
        <v>-595940</v>
      </c>
      <c r="D1065" s="6"/>
    </row>
    <row r="1066" spans="1:4" x14ac:dyDescent="0.2">
      <c r="A1066">
        <v>1061</v>
      </c>
      <c r="B1066" s="14">
        <f>'EstExp 12-20'!L55</f>
        <v>2236600</v>
      </c>
      <c r="C1066" s="5">
        <f t="shared" si="14"/>
        <v>-2235539</v>
      </c>
      <c r="D1066" s="6"/>
    </row>
    <row r="1067" spans="1:4" x14ac:dyDescent="0.2">
      <c r="A1067">
        <v>1062</v>
      </c>
      <c r="B1067" s="14">
        <f>'EstExp 12-20'!L57</f>
        <v>3583750</v>
      </c>
      <c r="C1067" s="5">
        <f t="shared" si="14"/>
        <v>-3582688</v>
      </c>
      <c r="D1067" s="6"/>
    </row>
    <row r="1068" spans="1:4" x14ac:dyDescent="0.2">
      <c r="A1068">
        <v>1063</v>
      </c>
      <c r="B1068" s="14">
        <f>'EstExp 12-20'!L58</f>
        <v>0</v>
      </c>
      <c r="C1068" s="5">
        <f t="shared" si="14"/>
        <v>1063</v>
      </c>
      <c r="D1068" s="6"/>
    </row>
    <row r="1069" spans="1:4" x14ac:dyDescent="0.2">
      <c r="A1069">
        <v>1064</v>
      </c>
      <c r="B1069" s="14">
        <f>'EstExp 12-20'!L59</f>
        <v>3583750</v>
      </c>
      <c r="C1069" s="5">
        <f t="shared" si="14"/>
        <v>-3582686</v>
      </c>
      <c r="D1069" s="6"/>
    </row>
    <row r="1070" spans="1:4" x14ac:dyDescent="0.2">
      <c r="A1070">
        <v>1065</v>
      </c>
      <c r="B1070" s="14">
        <f>'EstExp 12-20'!L61</f>
        <v>173400</v>
      </c>
      <c r="C1070" s="5">
        <f t="shared" si="14"/>
        <v>-172335</v>
      </c>
      <c r="D1070" s="6"/>
    </row>
    <row r="1071" spans="1:4" x14ac:dyDescent="0.2">
      <c r="A1071">
        <v>1066</v>
      </c>
      <c r="B1071" s="14">
        <f>'EstExp 12-20'!L62</f>
        <v>903000</v>
      </c>
      <c r="C1071" s="5">
        <f t="shared" si="14"/>
        <v>-901934</v>
      </c>
      <c r="D1071" s="6"/>
    </row>
    <row r="1072" spans="1:4" x14ac:dyDescent="0.2">
      <c r="A1072">
        <v>1067</v>
      </c>
      <c r="B1072" s="14">
        <f>'EstExp 12-20'!L63</f>
        <v>131000</v>
      </c>
      <c r="C1072" s="5">
        <f t="shared" si="14"/>
        <v>-129933</v>
      </c>
      <c r="D1072" s="6"/>
    </row>
    <row r="1073" spans="1:4" x14ac:dyDescent="0.2">
      <c r="A1073">
        <v>1068</v>
      </c>
      <c r="B1073" s="14">
        <f>'EstExp 12-20'!L64</f>
        <v>16000</v>
      </c>
      <c r="C1073" s="5">
        <f t="shared" si="14"/>
        <v>-14932</v>
      </c>
      <c r="D1073" s="6"/>
    </row>
    <row r="1074" spans="1:4" x14ac:dyDescent="0.2">
      <c r="A1074">
        <v>1069</v>
      </c>
      <c r="B1074" s="14">
        <f>'EstExp 12-20'!L65</f>
        <v>2103850</v>
      </c>
      <c r="C1074" s="5">
        <f t="shared" si="14"/>
        <v>-2102781</v>
      </c>
      <c r="D1074" s="6"/>
    </row>
    <row r="1075" spans="1:4" x14ac:dyDescent="0.2">
      <c r="A1075">
        <v>1070</v>
      </c>
      <c r="B1075" s="14">
        <f>'EstExp 12-20'!L66</f>
        <v>212000</v>
      </c>
      <c r="C1075" s="5">
        <f t="shared" si="14"/>
        <v>-210930</v>
      </c>
      <c r="D1075" s="6"/>
    </row>
    <row r="1076" spans="1:4" x14ac:dyDescent="0.2">
      <c r="A1076" s="3">
        <v>1071</v>
      </c>
      <c r="D1076" s="7"/>
    </row>
    <row r="1077" spans="1:4" x14ac:dyDescent="0.2">
      <c r="A1077">
        <v>1072</v>
      </c>
      <c r="B1077" s="14">
        <f>'EstExp 12-20'!L67</f>
        <v>3539250</v>
      </c>
      <c r="C1077" s="5">
        <f t="shared" si="14"/>
        <v>-3538178</v>
      </c>
      <c r="D1077" s="6"/>
    </row>
    <row r="1078" spans="1:4" x14ac:dyDescent="0.2">
      <c r="A1078">
        <v>1073</v>
      </c>
      <c r="B1078" s="14">
        <f>'EstExp 12-20'!L69</f>
        <v>0</v>
      </c>
      <c r="C1078" s="5">
        <f t="shared" si="14"/>
        <v>1073</v>
      </c>
      <c r="D1078" s="6"/>
    </row>
    <row r="1079" spans="1:4" x14ac:dyDescent="0.2">
      <c r="A1079">
        <v>1074</v>
      </c>
      <c r="B1079" s="14">
        <f>'EstExp 12-20'!L70</f>
        <v>228400</v>
      </c>
      <c r="C1079" s="5">
        <f t="shared" si="14"/>
        <v>-227326</v>
      </c>
      <c r="D1079" s="6"/>
    </row>
    <row r="1080" spans="1:4" x14ac:dyDescent="0.2">
      <c r="A1080">
        <v>1075</v>
      </c>
      <c r="B1080" s="14">
        <f>'EstExp 12-20'!L71</f>
        <v>326800</v>
      </c>
      <c r="C1080" s="5">
        <f t="shared" si="14"/>
        <v>-325725</v>
      </c>
      <c r="D1080" s="6"/>
    </row>
    <row r="1081" spans="1:4" x14ac:dyDescent="0.2">
      <c r="A1081">
        <v>1076</v>
      </c>
      <c r="B1081" s="14">
        <f>'EstExp 12-20'!L72</f>
        <v>1144850</v>
      </c>
      <c r="C1081" s="5">
        <f t="shared" si="14"/>
        <v>-1143774</v>
      </c>
      <c r="D1081" s="6"/>
    </row>
    <row r="1082" spans="1:4" x14ac:dyDescent="0.2">
      <c r="A1082" s="3">
        <v>1077</v>
      </c>
      <c r="D1082" s="7"/>
    </row>
    <row r="1083" spans="1:4" x14ac:dyDescent="0.2">
      <c r="A1083">
        <v>1078</v>
      </c>
      <c r="B1083" s="14">
        <f>'EstExp 12-20'!L73</f>
        <v>1642600</v>
      </c>
      <c r="C1083" s="5">
        <f t="shared" si="14"/>
        <v>-1641522</v>
      </c>
      <c r="D1083" s="6"/>
    </row>
    <row r="1084" spans="1:4" x14ac:dyDescent="0.2">
      <c r="A1084" s="3">
        <v>1079</v>
      </c>
      <c r="D1084" s="7"/>
    </row>
    <row r="1085" spans="1:4" x14ac:dyDescent="0.2">
      <c r="A1085">
        <v>1080</v>
      </c>
      <c r="B1085" s="14">
        <f>'EstExp 12-20'!L74</f>
        <v>3342650</v>
      </c>
      <c r="C1085" s="5">
        <f t="shared" si="14"/>
        <v>-3341570</v>
      </c>
      <c r="D1085" s="6"/>
    </row>
    <row r="1086" spans="1:4" x14ac:dyDescent="0.2">
      <c r="A1086">
        <v>1081</v>
      </c>
      <c r="B1086" s="14">
        <f>'EstExp 12-20'!L75</f>
        <v>1789850</v>
      </c>
      <c r="C1086" s="5">
        <f t="shared" si="14"/>
        <v>-1788769</v>
      </c>
      <c r="D1086" s="6"/>
    </row>
    <row r="1087" spans="1:4" x14ac:dyDescent="0.2">
      <c r="A1087">
        <v>1082</v>
      </c>
      <c r="B1087" s="14">
        <f>'EstExp 12-20'!L76</f>
        <v>25836150</v>
      </c>
      <c r="C1087" s="5">
        <f t="shared" si="14"/>
        <v>-25835068</v>
      </c>
      <c r="D1087" s="6"/>
    </row>
    <row r="1088" spans="1:4" x14ac:dyDescent="0.2">
      <c r="A1088">
        <v>1083</v>
      </c>
      <c r="B1088" s="14">
        <f>'EstExp 12-20'!L77</f>
        <v>0</v>
      </c>
      <c r="C1088" s="5">
        <f t="shared" si="14"/>
        <v>1083</v>
      </c>
      <c r="D1088" s="6"/>
    </row>
    <row r="1089" spans="1:4" x14ac:dyDescent="0.2">
      <c r="A1089">
        <v>1084</v>
      </c>
      <c r="B1089" s="14">
        <f>'EstExp 12-20'!L104</f>
        <v>1202000</v>
      </c>
      <c r="C1089" s="5">
        <f t="shared" si="14"/>
        <v>-1200916</v>
      </c>
      <c r="D1089" s="6"/>
    </row>
    <row r="1090" spans="1:4" x14ac:dyDescent="0.2">
      <c r="A1090">
        <v>1085</v>
      </c>
      <c r="B1090" s="14">
        <f>'EstExp 12-20'!L107</f>
        <v>0</v>
      </c>
      <c r="C1090" s="5">
        <f t="shared" si="14"/>
        <v>1085</v>
      </c>
      <c r="D1090" s="6"/>
    </row>
    <row r="1091" spans="1:4" x14ac:dyDescent="0.2">
      <c r="A1091">
        <v>1086</v>
      </c>
      <c r="B1091" s="14">
        <f>'EstExp 12-20'!L108</f>
        <v>0</v>
      </c>
      <c r="C1091" s="5">
        <f t="shared" si="14"/>
        <v>1086</v>
      </c>
      <c r="D1091" s="6"/>
    </row>
    <row r="1092" spans="1:4" x14ac:dyDescent="0.2">
      <c r="A1092" s="3">
        <v>1087</v>
      </c>
      <c r="D1092" s="6" t="s">
        <v>299</v>
      </c>
    </row>
    <row r="1093" spans="1:4" x14ac:dyDescent="0.2">
      <c r="A1093">
        <v>1088</v>
      </c>
      <c r="B1093" s="14">
        <f>'EstExp 12-20'!L111</f>
        <v>0</v>
      </c>
      <c r="C1093" s="5">
        <f t="shared" si="14"/>
        <v>1088</v>
      </c>
      <c r="D1093" s="6"/>
    </row>
    <row r="1094" spans="1:4" x14ac:dyDescent="0.2">
      <c r="A1094" s="3">
        <v>1089</v>
      </c>
      <c r="D1094" s="7"/>
    </row>
    <row r="1095" spans="1:4" x14ac:dyDescent="0.2">
      <c r="A1095">
        <v>1090</v>
      </c>
      <c r="B1095" s="14">
        <f>'EstExp 12-20'!L114</f>
        <v>0</v>
      </c>
      <c r="C1095" s="5">
        <f t="shared" si="14"/>
        <v>1090</v>
      </c>
      <c r="D1095" s="6"/>
    </row>
    <row r="1096" spans="1:4" x14ac:dyDescent="0.2">
      <c r="A1096">
        <v>1091</v>
      </c>
      <c r="B1096" s="14">
        <f>'EstExp 12-20'!L116</f>
        <v>79244000</v>
      </c>
      <c r="C1096" s="5">
        <f t="shared" ref="C1096:C1097" si="15">A1096-B1096</f>
        <v>-79242909</v>
      </c>
      <c r="D1096" s="6"/>
    </row>
    <row r="1097" spans="1:4" x14ac:dyDescent="0.2">
      <c r="A1097">
        <v>1092</v>
      </c>
      <c r="B1097" s="14">
        <f>'EstExp 12-20'!L118</f>
        <v>0</v>
      </c>
      <c r="C1097" s="5">
        <f t="shared" si="15"/>
        <v>1092</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12-20'!D126</f>
        <v>0</v>
      </c>
      <c r="C1163" s="5">
        <f t="shared" ref="C1163:C1223" si="16">A1163-B1163</f>
        <v>1158</v>
      </c>
      <c r="D1163" s="6"/>
    </row>
    <row r="1164" spans="1:4" x14ac:dyDescent="0.2">
      <c r="A1164">
        <v>1159</v>
      </c>
      <c r="B1164" s="14">
        <f>'EstExp 12-20'!D127</f>
        <v>20000</v>
      </c>
      <c r="C1164" s="5">
        <f t="shared" si="16"/>
        <v>-18841</v>
      </c>
      <c r="D1164" s="6"/>
    </row>
    <row r="1165" spans="1:4" x14ac:dyDescent="0.2">
      <c r="A1165">
        <v>1160</v>
      </c>
      <c r="B1165" s="14">
        <f>'EstExp 12-20'!D128</f>
        <v>3345500</v>
      </c>
      <c r="C1165" s="5">
        <f t="shared" si="16"/>
        <v>-3344340</v>
      </c>
      <c r="D1165" s="6"/>
    </row>
    <row r="1166" spans="1:4" x14ac:dyDescent="0.2">
      <c r="A1166" s="3">
        <v>1161</v>
      </c>
      <c r="D1166" s="7"/>
    </row>
    <row r="1167" spans="1:4" x14ac:dyDescent="0.2">
      <c r="A1167">
        <v>1162</v>
      </c>
      <c r="B1167" s="14">
        <f>'EstExp 12-20'!D131</f>
        <v>3365500</v>
      </c>
      <c r="C1167" s="5">
        <f t="shared" si="16"/>
        <v>-3364338</v>
      </c>
      <c r="D1167" s="6"/>
    </row>
    <row r="1168" spans="1:4" x14ac:dyDescent="0.2">
      <c r="A1168">
        <v>1163</v>
      </c>
      <c r="B1168" s="14">
        <f>'EstExp 12-20'!D132</f>
        <v>344000</v>
      </c>
      <c r="C1168" s="5">
        <f t="shared" si="16"/>
        <v>-342837</v>
      </c>
      <c r="D1168" s="6"/>
    </row>
    <row r="1169" spans="1:4" x14ac:dyDescent="0.2">
      <c r="A1169">
        <v>1164</v>
      </c>
      <c r="B1169" s="14">
        <f>'EstExp 12-20'!D133</f>
        <v>3709500</v>
      </c>
      <c r="C1169" s="5">
        <f t="shared" si="16"/>
        <v>-3708336</v>
      </c>
      <c r="D1169" s="6"/>
    </row>
    <row r="1170" spans="1:4" x14ac:dyDescent="0.2">
      <c r="A1170">
        <v>1165</v>
      </c>
      <c r="B1170" s="14">
        <f>'EstExp 12-20'!D155</f>
        <v>3752000</v>
      </c>
      <c r="C1170" s="5">
        <f t="shared" si="16"/>
        <v>-3750835</v>
      </c>
      <c r="D1170" s="6"/>
    </row>
    <row r="1171" spans="1:4" x14ac:dyDescent="0.2">
      <c r="A1171">
        <v>1166</v>
      </c>
      <c r="B1171" s="14">
        <f>'EstExp 12-20'!E126</f>
        <v>0</v>
      </c>
      <c r="C1171" s="5">
        <f t="shared" si="16"/>
        <v>1166</v>
      </c>
      <c r="D1171" s="6"/>
    </row>
    <row r="1172" spans="1:4" x14ac:dyDescent="0.2">
      <c r="A1172">
        <v>1167</v>
      </c>
      <c r="B1172" s="14">
        <f>'EstExp 12-20'!E127</f>
        <v>0</v>
      </c>
      <c r="C1172" s="5">
        <f t="shared" si="16"/>
        <v>1167</v>
      </c>
      <c r="D1172" s="6"/>
    </row>
    <row r="1173" spans="1:4" x14ac:dyDescent="0.2">
      <c r="A1173">
        <v>1168</v>
      </c>
      <c r="B1173" s="14">
        <f>'EstExp 12-20'!E128</f>
        <v>496000</v>
      </c>
      <c r="C1173" s="5">
        <f t="shared" si="16"/>
        <v>-494832</v>
      </c>
      <c r="D1173" s="6"/>
    </row>
    <row r="1174" spans="1:4" x14ac:dyDescent="0.2">
      <c r="A1174" s="3">
        <v>1169</v>
      </c>
      <c r="D1174" s="7"/>
    </row>
    <row r="1175" spans="1:4" x14ac:dyDescent="0.2">
      <c r="A1175">
        <v>1170</v>
      </c>
      <c r="B1175" s="14">
        <f>'EstExp 12-20'!E131</f>
        <v>496000</v>
      </c>
      <c r="C1175" s="5">
        <f t="shared" si="16"/>
        <v>-494830</v>
      </c>
      <c r="D1175" s="6"/>
    </row>
    <row r="1176" spans="1:4" x14ac:dyDescent="0.2">
      <c r="A1176">
        <v>1171</v>
      </c>
      <c r="B1176" s="14">
        <f>'EstExp 12-20'!E132</f>
        <v>38000</v>
      </c>
      <c r="C1176" s="5">
        <f t="shared" si="16"/>
        <v>-36829</v>
      </c>
      <c r="D1176" s="6"/>
    </row>
    <row r="1177" spans="1:4" x14ac:dyDescent="0.2">
      <c r="A1177">
        <v>1172</v>
      </c>
      <c r="B1177" s="14">
        <f>'EstExp 12-20'!E133</f>
        <v>534000</v>
      </c>
      <c r="C1177" s="5">
        <f t="shared" si="16"/>
        <v>-532828</v>
      </c>
      <c r="D1177" s="6"/>
    </row>
    <row r="1178" spans="1:4" x14ac:dyDescent="0.2">
      <c r="A1178">
        <v>1173</v>
      </c>
      <c r="B1178" s="14">
        <f>'EstExp 12-20'!E155</f>
        <v>534000</v>
      </c>
      <c r="C1178" s="5">
        <f t="shared" si="16"/>
        <v>-532827</v>
      </c>
      <c r="D1178" s="6"/>
    </row>
    <row r="1179" spans="1:4" x14ac:dyDescent="0.2">
      <c r="A1179">
        <v>1174</v>
      </c>
      <c r="B1179" s="14">
        <f>'EstExp 12-20'!F126</f>
        <v>0</v>
      </c>
      <c r="C1179" s="5">
        <f t="shared" si="16"/>
        <v>1174</v>
      </c>
      <c r="D1179" s="6"/>
    </row>
    <row r="1180" spans="1:4" x14ac:dyDescent="0.2">
      <c r="A1180">
        <v>1175</v>
      </c>
      <c r="B1180" s="14">
        <f>'EstExp 12-20'!F127</f>
        <v>403000</v>
      </c>
      <c r="C1180" s="5">
        <f t="shared" si="16"/>
        <v>-401825</v>
      </c>
      <c r="D1180" s="6"/>
    </row>
    <row r="1181" spans="1:4" x14ac:dyDescent="0.2">
      <c r="A1181">
        <v>1176</v>
      </c>
      <c r="B1181" s="14">
        <f>'EstExp 12-20'!F128</f>
        <v>1497000</v>
      </c>
      <c r="C1181" s="5">
        <f t="shared" si="16"/>
        <v>-1495824</v>
      </c>
      <c r="D1181" s="6"/>
    </row>
    <row r="1182" spans="1:4" x14ac:dyDescent="0.2">
      <c r="A1182" s="3">
        <v>1177</v>
      </c>
      <c r="D1182" s="7"/>
    </row>
    <row r="1183" spans="1:4" x14ac:dyDescent="0.2">
      <c r="A1183">
        <v>1178</v>
      </c>
      <c r="B1183" s="14">
        <f>'EstExp 12-20'!F131</f>
        <v>1900000</v>
      </c>
      <c r="C1183" s="5">
        <f t="shared" si="16"/>
        <v>-1898822</v>
      </c>
      <c r="D1183" s="6"/>
    </row>
    <row r="1184" spans="1:4" x14ac:dyDescent="0.2">
      <c r="A1184">
        <v>1179</v>
      </c>
      <c r="B1184" s="14">
        <f>'EstExp 12-20'!F132</f>
        <v>72000</v>
      </c>
      <c r="C1184" s="5">
        <f t="shared" si="16"/>
        <v>-70821</v>
      </c>
      <c r="D1184" s="6"/>
    </row>
    <row r="1185" spans="1:4" x14ac:dyDescent="0.2">
      <c r="A1185">
        <v>1180</v>
      </c>
      <c r="B1185" s="14">
        <f>'EstExp 12-20'!F133</f>
        <v>1972000</v>
      </c>
      <c r="C1185" s="5">
        <f t="shared" si="16"/>
        <v>-1970820</v>
      </c>
      <c r="D1185" s="6"/>
    </row>
    <row r="1186" spans="1:4" x14ac:dyDescent="0.2">
      <c r="A1186">
        <v>1181</v>
      </c>
      <c r="B1186" s="14">
        <f>'EstExp 12-20'!F155</f>
        <v>1973000</v>
      </c>
      <c r="C1186" s="5">
        <f t="shared" si="16"/>
        <v>-1971819</v>
      </c>
      <c r="D1186" s="6"/>
    </row>
    <row r="1187" spans="1:4" x14ac:dyDescent="0.2">
      <c r="A1187">
        <v>1182</v>
      </c>
      <c r="B1187" s="14">
        <f>'EstExp 12-20'!G126</f>
        <v>0</v>
      </c>
      <c r="C1187" s="5">
        <f t="shared" si="16"/>
        <v>1182</v>
      </c>
      <c r="D1187" s="6"/>
    </row>
    <row r="1188" spans="1:4" x14ac:dyDescent="0.2">
      <c r="A1188">
        <v>1183</v>
      </c>
      <c r="B1188" s="14">
        <f>'EstExp 12-20'!G127</f>
        <v>0</v>
      </c>
      <c r="C1188" s="5">
        <f t="shared" si="16"/>
        <v>1183</v>
      </c>
      <c r="D1188" s="6"/>
    </row>
    <row r="1189" spans="1:4" x14ac:dyDescent="0.2">
      <c r="A1189">
        <v>1184</v>
      </c>
      <c r="B1189" s="14">
        <f>'EstExp 12-20'!G128</f>
        <v>1214000</v>
      </c>
      <c r="C1189" s="5">
        <f t="shared" si="16"/>
        <v>-1212816</v>
      </c>
      <c r="D1189" s="6"/>
    </row>
    <row r="1190" spans="1:4" x14ac:dyDescent="0.2">
      <c r="A1190" s="3">
        <v>1185</v>
      </c>
      <c r="D1190" s="7"/>
    </row>
    <row r="1191" spans="1:4" x14ac:dyDescent="0.2">
      <c r="A1191">
        <v>1186</v>
      </c>
      <c r="B1191" s="14">
        <f>'EstExp 12-20'!G131</f>
        <v>1214000</v>
      </c>
      <c r="C1191" s="5">
        <f t="shared" si="16"/>
        <v>-1212814</v>
      </c>
      <c r="D1191" s="6"/>
    </row>
    <row r="1192" spans="1:4" x14ac:dyDescent="0.2">
      <c r="A1192">
        <v>1187</v>
      </c>
      <c r="B1192" s="14">
        <f>'EstExp 12-20'!G132</f>
        <v>0</v>
      </c>
      <c r="C1192" s="5">
        <f t="shared" si="16"/>
        <v>1187</v>
      </c>
      <c r="D1192" s="6"/>
    </row>
    <row r="1193" spans="1:4" x14ac:dyDescent="0.2">
      <c r="A1193">
        <v>1188</v>
      </c>
      <c r="B1193" s="14">
        <f>'EstExp 12-20'!G133</f>
        <v>1214000</v>
      </c>
      <c r="C1193" s="5">
        <f t="shared" si="16"/>
        <v>-1212812</v>
      </c>
      <c r="D1193" s="6"/>
    </row>
    <row r="1194" spans="1:4" x14ac:dyDescent="0.2">
      <c r="A1194">
        <v>1189</v>
      </c>
      <c r="B1194" s="14">
        <f>'EstExp 12-20'!G155</f>
        <v>1215000</v>
      </c>
      <c r="C1194" s="5">
        <f t="shared" si="16"/>
        <v>-1213811</v>
      </c>
      <c r="D1194" s="6"/>
    </row>
    <row r="1195" spans="1:4" x14ac:dyDescent="0.2">
      <c r="A1195">
        <v>1190</v>
      </c>
      <c r="B1195" s="14">
        <f>'EstExp 12-20'!H126</f>
        <v>0</v>
      </c>
      <c r="C1195" s="5">
        <f t="shared" si="16"/>
        <v>1190</v>
      </c>
      <c r="D1195" s="6"/>
    </row>
    <row r="1196" spans="1:4" x14ac:dyDescent="0.2">
      <c r="A1196">
        <v>1191</v>
      </c>
      <c r="B1196" s="14">
        <f>'EstExp 12-20'!H127</f>
        <v>723000</v>
      </c>
      <c r="C1196" s="5">
        <f t="shared" si="16"/>
        <v>-721809</v>
      </c>
      <c r="D1196" s="6"/>
    </row>
    <row r="1197" spans="1:4" x14ac:dyDescent="0.2">
      <c r="A1197">
        <v>1192</v>
      </c>
      <c r="B1197" s="14">
        <f>'EstExp 12-20'!H128</f>
        <v>15000</v>
      </c>
      <c r="C1197" s="5">
        <f t="shared" si="16"/>
        <v>-13808</v>
      </c>
      <c r="D1197" s="6"/>
    </row>
    <row r="1198" spans="1:4" x14ac:dyDescent="0.2">
      <c r="A1198">
        <v>1193</v>
      </c>
      <c r="B1198" s="14">
        <f>'EstExp 12-20'!H130</f>
        <v>0</v>
      </c>
      <c r="C1198" s="5">
        <f t="shared" si="16"/>
        <v>1193</v>
      </c>
      <c r="D1198" s="6"/>
    </row>
    <row r="1199" spans="1:4" x14ac:dyDescent="0.2">
      <c r="A1199" s="3">
        <v>1194</v>
      </c>
      <c r="D1199" s="7"/>
    </row>
    <row r="1200" spans="1:4" x14ac:dyDescent="0.2">
      <c r="A1200">
        <v>1195</v>
      </c>
      <c r="B1200" s="14">
        <f>'EstExp 12-20'!H131</f>
        <v>738000</v>
      </c>
      <c r="C1200" s="5">
        <f t="shared" si="16"/>
        <v>-736805</v>
      </c>
      <c r="D1200" s="6"/>
    </row>
    <row r="1201" spans="1:4" x14ac:dyDescent="0.2">
      <c r="A1201">
        <v>1196</v>
      </c>
      <c r="B1201" s="14">
        <f>'EstExp 12-20'!H132</f>
        <v>0</v>
      </c>
      <c r="C1201" s="5">
        <f t="shared" si="16"/>
        <v>1196</v>
      </c>
      <c r="D1201" s="6"/>
    </row>
    <row r="1202" spans="1:4" x14ac:dyDescent="0.2">
      <c r="A1202">
        <v>1197</v>
      </c>
      <c r="B1202" s="14">
        <f>'EstExp 12-20'!H133</f>
        <v>738000</v>
      </c>
      <c r="C1202" s="5">
        <f t="shared" si="16"/>
        <v>-736803</v>
      </c>
      <c r="D1202" s="6"/>
    </row>
    <row r="1203" spans="1:4" x14ac:dyDescent="0.2">
      <c r="A1203">
        <v>1198</v>
      </c>
      <c r="B1203" s="14">
        <f>'EstExp 12-20'!H155</f>
        <v>743000</v>
      </c>
      <c r="C1203" s="5">
        <f t="shared" si="16"/>
        <v>-741802</v>
      </c>
      <c r="D1203" s="6"/>
    </row>
    <row r="1204" spans="1:4" x14ac:dyDescent="0.2">
      <c r="A1204">
        <v>1199</v>
      </c>
      <c r="B1204" s="14">
        <f>'EstExp 12-20'!I126</f>
        <v>0</v>
      </c>
      <c r="C1204" s="5">
        <f t="shared" si="16"/>
        <v>1199</v>
      </c>
      <c r="D1204" s="6"/>
    </row>
    <row r="1205" spans="1:4" x14ac:dyDescent="0.2">
      <c r="A1205">
        <v>1200</v>
      </c>
      <c r="B1205" s="14">
        <f>'EstExp 12-20'!I127</f>
        <v>0</v>
      </c>
      <c r="C1205" s="5">
        <f t="shared" si="16"/>
        <v>1200</v>
      </c>
      <c r="D1205" s="6"/>
    </row>
    <row r="1206" spans="1:4" x14ac:dyDescent="0.2">
      <c r="A1206">
        <v>1201</v>
      </c>
      <c r="B1206" s="14">
        <f>'EstExp 12-20'!I128</f>
        <v>3000</v>
      </c>
      <c r="C1206" s="5">
        <f t="shared" si="16"/>
        <v>-1799</v>
      </c>
      <c r="D1206" s="6"/>
    </row>
    <row r="1207" spans="1:4" x14ac:dyDescent="0.2">
      <c r="A1207" s="3">
        <v>1202</v>
      </c>
      <c r="D1207" s="7"/>
    </row>
    <row r="1208" spans="1:4" x14ac:dyDescent="0.2">
      <c r="A1208">
        <v>1203</v>
      </c>
      <c r="B1208" s="14">
        <f>'EstExp 12-20'!I131</f>
        <v>3000</v>
      </c>
      <c r="C1208" s="5">
        <f t="shared" si="16"/>
        <v>-1797</v>
      </c>
      <c r="D1208" s="6"/>
    </row>
    <row r="1209" spans="1:4" x14ac:dyDescent="0.2">
      <c r="A1209">
        <v>1204</v>
      </c>
      <c r="B1209" s="14">
        <f>'EstExp 12-20'!I132</f>
        <v>0</v>
      </c>
      <c r="C1209" s="5">
        <f t="shared" si="16"/>
        <v>1204</v>
      </c>
      <c r="D1209" s="6"/>
    </row>
    <row r="1210" spans="1:4" x14ac:dyDescent="0.2">
      <c r="A1210">
        <v>1205</v>
      </c>
      <c r="B1210" s="14">
        <f>'EstExp 12-20'!I133</f>
        <v>3000</v>
      </c>
      <c r="C1210" s="5">
        <f t="shared" si="16"/>
        <v>-1795</v>
      </c>
      <c r="D1210" s="6"/>
    </row>
    <row r="1211" spans="1:4" x14ac:dyDescent="0.2">
      <c r="A1211">
        <v>1206</v>
      </c>
      <c r="B1211" s="14">
        <f>'EstExp 12-20'!I143</f>
        <v>0</v>
      </c>
      <c r="C1211" s="5">
        <f t="shared" si="16"/>
        <v>1206</v>
      </c>
      <c r="D1211" s="6"/>
    </row>
    <row r="1212" spans="1:4" x14ac:dyDescent="0.2">
      <c r="A1212">
        <v>1207</v>
      </c>
      <c r="B1212" s="14">
        <f>'EstExp 12-20'!I146</f>
        <v>0</v>
      </c>
      <c r="C1212" s="5">
        <f t="shared" si="16"/>
        <v>1207</v>
      </c>
      <c r="D1212" s="6"/>
    </row>
    <row r="1213" spans="1:4" x14ac:dyDescent="0.2">
      <c r="A1213">
        <v>1208</v>
      </c>
      <c r="B1213" s="14">
        <f>'EstExp 12-20'!I147</f>
        <v>0</v>
      </c>
      <c r="C1213" s="5">
        <f t="shared" si="16"/>
        <v>1208</v>
      </c>
      <c r="D1213" s="6"/>
    </row>
    <row r="1214" spans="1:4" x14ac:dyDescent="0.2">
      <c r="A1214">
        <v>1209</v>
      </c>
      <c r="B1214" s="14">
        <f>'EstExp 12-20'!I150</f>
        <v>0</v>
      </c>
      <c r="C1214" s="5">
        <f t="shared" si="16"/>
        <v>1209</v>
      </c>
      <c r="D1214" s="6"/>
    </row>
    <row r="1215" spans="1:4" x14ac:dyDescent="0.2">
      <c r="A1215" s="3">
        <v>1210</v>
      </c>
      <c r="D1215" s="7"/>
    </row>
    <row r="1216" spans="1:4" x14ac:dyDescent="0.2">
      <c r="A1216">
        <v>1211</v>
      </c>
      <c r="B1216" s="14">
        <f>'EstExp 12-20'!I153</f>
        <v>0</v>
      </c>
      <c r="C1216" s="5">
        <f t="shared" si="16"/>
        <v>1211</v>
      </c>
      <c r="D1216" s="6"/>
    </row>
    <row r="1217" spans="1:4" x14ac:dyDescent="0.2">
      <c r="A1217">
        <v>1212</v>
      </c>
      <c r="B1217" s="14">
        <f>'EstExp 12-20'!I155</f>
        <v>3000</v>
      </c>
      <c r="C1217" s="5">
        <f t="shared" si="16"/>
        <v>-1788</v>
      </c>
      <c r="D1217" s="6"/>
    </row>
    <row r="1218" spans="1:4" x14ac:dyDescent="0.2">
      <c r="A1218">
        <v>1213</v>
      </c>
      <c r="B1218" s="14">
        <f>'EstExp 12-20'!L126</f>
        <v>0</v>
      </c>
      <c r="C1218" s="5">
        <f t="shared" si="16"/>
        <v>1213</v>
      </c>
      <c r="D1218" s="6"/>
    </row>
    <row r="1219" spans="1:4" x14ac:dyDescent="0.2">
      <c r="A1219">
        <v>1214</v>
      </c>
      <c r="B1219" s="14">
        <f>'EstExp 12-20'!L127</f>
        <v>1146000</v>
      </c>
      <c r="C1219" s="5">
        <f t="shared" si="16"/>
        <v>-1144786</v>
      </c>
      <c r="D1219" s="6"/>
    </row>
    <row r="1220" spans="1:4" x14ac:dyDescent="0.2">
      <c r="A1220">
        <v>1215</v>
      </c>
      <c r="B1220" s="14">
        <f>'EstExp 12-20'!L128</f>
        <v>6570500</v>
      </c>
      <c r="C1220" s="5">
        <f t="shared" si="16"/>
        <v>-6569285</v>
      </c>
      <c r="D1220" s="6"/>
    </row>
    <row r="1221" spans="1:4" x14ac:dyDescent="0.2">
      <c r="A1221">
        <v>1216</v>
      </c>
      <c r="B1221" s="14">
        <f>'EstExp 12-20'!L130</f>
        <v>0</v>
      </c>
      <c r="C1221" s="5">
        <f t="shared" si="16"/>
        <v>1216</v>
      </c>
      <c r="D1221" s="6"/>
    </row>
    <row r="1222" spans="1:4" x14ac:dyDescent="0.2">
      <c r="A1222" s="3">
        <v>1217</v>
      </c>
      <c r="D1222" s="7"/>
    </row>
    <row r="1223" spans="1:4" x14ac:dyDescent="0.2">
      <c r="A1223">
        <v>1218</v>
      </c>
      <c r="B1223" s="14">
        <f>'EstExp 12-20'!L131</f>
        <v>7716500</v>
      </c>
      <c r="C1223" s="5">
        <f t="shared" si="16"/>
        <v>-7715282</v>
      </c>
      <c r="D1223" s="6"/>
    </row>
    <row r="1224" spans="1:4" x14ac:dyDescent="0.2">
      <c r="A1224">
        <v>1219</v>
      </c>
      <c r="B1224" s="14">
        <f>'EstExp 12-20'!L132</f>
        <v>454000</v>
      </c>
      <c r="C1224" s="5">
        <f t="shared" ref="C1224:C1285" si="17">A1224-B1224</f>
        <v>-452781</v>
      </c>
      <c r="D1224" s="6"/>
    </row>
    <row r="1225" spans="1:4" x14ac:dyDescent="0.2">
      <c r="A1225">
        <v>1220</v>
      </c>
      <c r="B1225" s="14">
        <f>'EstExp 12-20'!L133</f>
        <v>8170500</v>
      </c>
      <c r="C1225" s="5">
        <f t="shared" si="17"/>
        <v>-8169280</v>
      </c>
      <c r="D1225" s="6"/>
    </row>
    <row r="1226" spans="1:4" x14ac:dyDescent="0.2">
      <c r="A1226">
        <v>1221</v>
      </c>
      <c r="B1226" s="14">
        <f>'EstExp 12-20'!L143</f>
        <v>0</v>
      </c>
      <c r="C1226" s="5">
        <f t="shared" si="17"/>
        <v>1221</v>
      </c>
      <c r="D1226" s="6"/>
    </row>
    <row r="1227" spans="1:4" x14ac:dyDescent="0.2">
      <c r="A1227">
        <v>1222</v>
      </c>
      <c r="B1227" s="14">
        <f>'EstExp 12-20'!L146</f>
        <v>0</v>
      </c>
      <c r="C1227" s="5">
        <f t="shared" si="17"/>
        <v>1222</v>
      </c>
      <c r="D1227" s="6"/>
    </row>
    <row r="1228" spans="1:4" x14ac:dyDescent="0.2">
      <c r="A1228">
        <v>1223</v>
      </c>
      <c r="B1228" s="14">
        <f>'EstExp 12-20'!L147</f>
        <v>0</v>
      </c>
      <c r="C1228" s="5">
        <f t="shared" si="17"/>
        <v>1223</v>
      </c>
      <c r="D1228" s="6"/>
    </row>
    <row r="1229" spans="1:4" x14ac:dyDescent="0.2">
      <c r="A1229">
        <v>1224</v>
      </c>
      <c r="B1229" s="14">
        <f>'EstExp 12-20'!L150</f>
        <v>0</v>
      </c>
      <c r="C1229" s="5">
        <f t="shared" si="17"/>
        <v>1224</v>
      </c>
      <c r="D1229" s="6"/>
    </row>
    <row r="1230" spans="1:4" x14ac:dyDescent="0.2">
      <c r="A1230" s="3">
        <v>1225</v>
      </c>
      <c r="D1230" s="7"/>
    </row>
    <row r="1231" spans="1:4" x14ac:dyDescent="0.2">
      <c r="A1231">
        <v>1226</v>
      </c>
      <c r="B1231" s="14">
        <f>'EstExp 12-20'!L153</f>
        <v>0</v>
      </c>
      <c r="C1231" s="5">
        <f t="shared" si="17"/>
        <v>1226</v>
      </c>
      <c r="D1231" s="6"/>
    </row>
    <row r="1232" spans="1:4" x14ac:dyDescent="0.2">
      <c r="A1232">
        <v>1227</v>
      </c>
      <c r="B1232" s="14">
        <f>'EstExp 12-20'!L155</f>
        <v>8220000</v>
      </c>
      <c r="C1232" s="5">
        <f t="shared" si="17"/>
        <v>-8218773</v>
      </c>
      <c r="D1232" s="6"/>
    </row>
    <row r="1233" spans="1:4" x14ac:dyDescent="0.2">
      <c r="A1233">
        <v>1228</v>
      </c>
      <c r="B1233" s="14">
        <f>'EstExp 12-20'!L156</f>
        <v>0</v>
      </c>
      <c r="C1233" s="5">
        <f t="shared" si="17"/>
        <v>1228</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12-20'!F175</f>
        <v>0</v>
      </c>
      <c r="C1251" s="5">
        <f t="shared" si="17"/>
        <v>1246</v>
      </c>
      <c r="D1251" s="6"/>
    </row>
    <row r="1252" spans="1:4" x14ac:dyDescent="0.2">
      <c r="A1252">
        <v>1247</v>
      </c>
      <c r="B1252" s="14">
        <f>'EstExp 12-20'!F176</f>
        <v>0</v>
      </c>
      <c r="C1252" s="5">
        <f t="shared" si="17"/>
        <v>1247</v>
      </c>
      <c r="D1252" s="6"/>
    </row>
    <row r="1253" spans="1:4" x14ac:dyDescent="0.2">
      <c r="A1253">
        <v>1248</v>
      </c>
      <c r="B1253" s="14">
        <f>'EstExp 12-20'!F178</f>
        <v>0</v>
      </c>
      <c r="C1253" s="5">
        <f t="shared" si="17"/>
        <v>1248</v>
      </c>
      <c r="D1253" s="6"/>
    </row>
    <row r="1254" spans="1:4" x14ac:dyDescent="0.2">
      <c r="A1254">
        <v>1249</v>
      </c>
      <c r="B1254" s="14">
        <f>'EstExp 12-20'!I167</f>
        <v>0</v>
      </c>
      <c r="C1254" s="5">
        <f t="shared" si="17"/>
        <v>1249</v>
      </c>
      <c r="D1254" s="6"/>
    </row>
    <row r="1255" spans="1:4" x14ac:dyDescent="0.2">
      <c r="A1255">
        <v>1250</v>
      </c>
      <c r="B1255" s="14">
        <f>'EstExp 12-20'!I168</f>
        <v>0</v>
      </c>
      <c r="C1255" s="5">
        <f t="shared" si="17"/>
        <v>1250</v>
      </c>
      <c r="D1255" s="6"/>
    </row>
    <row r="1256" spans="1:4" x14ac:dyDescent="0.2">
      <c r="A1256">
        <v>1251</v>
      </c>
      <c r="B1256" s="14">
        <f>'EstExp 12-20'!I173</f>
        <v>1144000</v>
      </c>
      <c r="C1256" s="5">
        <f t="shared" si="17"/>
        <v>-1142749</v>
      </c>
      <c r="D1256" s="6"/>
    </row>
    <row r="1257" spans="1:4" x14ac:dyDescent="0.2">
      <c r="A1257">
        <v>1252</v>
      </c>
      <c r="B1257" s="14">
        <f>'EstExp 12-20'!I171</f>
        <v>0</v>
      </c>
      <c r="C1257" s="5">
        <f t="shared" si="17"/>
        <v>1252</v>
      </c>
      <c r="D1257" s="6"/>
    </row>
    <row r="1258" spans="1:4" x14ac:dyDescent="0.2">
      <c r="A1258">
        <v>1253</v>
      </c>
      <c r="B1258" s="14">
        <f>'EstExp 12-20'!I172</f>
        <v>0</v>
      </c>
      <c r="C1258" s="5">
        <f t="shared" si="17"/>
        <v>1253</v>
      </c>
      <c r="D1258" s="6"/>
    </row>
    <row r="1259" spans="1:4" x14ac:dyDescent="0.2">
      <c r="A1259">
        <v>1254</v>
      </c>
      <c r="B1259" s="14">
        <f>'EstExp 12-20'!I174</f>
        <v>2475000</v>
      </c>
      <c r="C1259" s="5">
        <f t="shared" si="17"/>
        <v>-2473746</v>
      </c>
      <c r="D1259" s="6"/>
    </row>
    <row r="1260" spans="1:4" x14ac:dyDescent="0.2">
      <c r="A1260">
        <v>1255</v>
      </c>
      <c r="B1260" s="14">
        <f>'EstExp 12-20'!I175</f>
        <v>0</v>
      </c>
      <c r="C1260" s="5">
        <f t="shared" si="17"/>
        <v>1255</v>
      </c>
      <c r="D1260" s="6"/>
    </row>
    <row r="1261" spans="1:4" x14ac:dyDescent="0.2">
      <c r="A1261">
        <v>1256</v>
      </c>
      <c r="B1261" s="14">
        <f>'EstExp 12-20'!I176</f>
        <v>3619000</v>
      </c>
      <c r="C1261" s="5">
        <f t="shared" si="17"/>
        <v>-3617744</v>
      </c>
      <c r="D1261" s="6"/>
    </row>
    <row r="1262" spans="1:4" x14ac:dyDescent="0.2">
      <c r="A1262">
        <v>1257</v>
      </c>
      <c r="B1262" s="14">
        <f>'EstExp 12-20'!I178</f>
        <v>3619000</v>
      </c>
      <c r="C1262" s="5">
        <f t="shared" si="17"/>
        <v>-3617743</v>
      </c>
      <c r="D1262" s="6"/>
    </row>
    <row r="1263" spans="1:4" x14ac:dyDescent="0.2">
      <c r="A1263" s="3">
        <v>1258</v>
      </c>
      <c r="D1263" s="6" t="s">
        <v>299</v>
      </c>
    </row>
    <row r="1264" spans="1:4" x14ac:dyDescent="0.2">
      <c r="A1264" s="3">
        <v>1259</v>
      </c>
      <c r="D1264" s="6" t="s">
        <v>299</v>
      </c>
    </row>
    <row r="1265" spans="1:4" x14ac:dyDescent="0.2">
      <c r="A1265" s="3">
        <v>1260</v>
      </c>
      <c r="D1265" s="6" t="s">
        <v>299</v>
      </c>
    </row>
    <row r="1266" spans="1:4" x14ac:dyDescent="0.2">
      <c r="A1266" s="3">
        <v>1261</v>
      </c>
      <c r="D1266" s="6" t="s">
        <v>299</v>
      </c>
    </row>
    <row r="1267" spans="1:4" x14ac:dyDescent="0.2">
      <c r="A1267" s="3">
        <v>1262</v>
      </c>
      <c r="D1267" s="6" t="s">
        <v>796</v>
      </c>
    </row>
    <row r="1268" spans="1:4" x14ac:dyDescent="0.2">
      <c r="A1268">
        <v>1263</v>
      </c>
      <c r="B1268" s="14">
        <f>'EstExp 12-20'!L167</f>
        <v>0</v>
      </c>
      <c r="C1268" s="5">
        <f t="shared" si="17"/>
        <v>1263</v>
      </c>
      <c r="D1268" s="6"/>
    </row>
    <row r="1269" spans="1:4" x14ac:dyDescent="0.2">
      <c r="A1269">
        <v>1264</v>
      </c>
      <c r="B1269" s="14">
        <f>'EstExp 12-20'!L168</f>
        <v>0</v>
      </c>
      <c r="C1269" s="5">
        <f t="shared" si="17"/>
        <v>1264</v>
      </c>
      <c r="D1269" s="6"/>
    </row>
    <row r="1270" spans="1:4" x14ac:dyDescent="0.2">
      <c r="A1270">
        <v>1265</v>
      </c>
      <c r="B1270" s="14">
        <f>'EstExp 12-20'!L173</f>
        <v>1144000</v>
      </c>
      <c r="C1270" s="5">
        <f t="shared" si="17"/>
        <v>-1142735</v>
      </c>
      <c r="D1270" s="6"/>
    </row>
    <row r="1271" spans="1:4" x14ac:dyDescent="0.2">
      <c r="A1271">
        <v>1266</v>
      </c>
      <c r="B1271" s="14">
        <f>'EstExp 12-20'!L171</f>
        <v>0</v>
      </c>
      <c r="C1271" s="5">
        <f t="shared" si="17"/>
        <v>1266</v>
      </c>
      <c r="D1271" s="6"/>
    </row>
    <row r="1272" spans="1:4" x14ac:dyDescent="0.2">
      <c r="A1272">
        <v>1267</v>
      </c>
      <c r="B1272" s="14">
        <f>'EstExp 12-20'!L172</f>
        <v>0</v>
      </c>
      <c r="C1272" s="5">
        <f t="shared" si="17"/>
        <v>1267</v>
      </c>
      <c r="D1272" s="6"/>
    </row>
    <row r="1273" spans="1:4" x14ac:dyDescent="0.2">
      <c r="A1273">
        <v>1268</v>
      </c>
      <c r="B1273" s="14">
        <f>'EstExp 12-20'!L174</f>
        <v>2475000</v>
      </c>
      <c r="C1273" s="5">
        <f t="shared" si="17"/>
        <v>-2473732</v>
      </c>
      <c r="D1273" s="6"/>
    </row>
    <row r="1274" spans="1:4" x14ac:dyDescent="0.2">
      <c r="A1274">
        <v>1269</v>
      </c>
      <c r="B1274" s="14">
        <f>'EstExp 12-20'!L175</f>
        <v>0</v>
      </c>
      <c r="C1274" s="5">
        <f t="shared" si="17"/>
        <v>1269</v>
      </c>
      <c r="D1274" s="6"/>
    </row>
    <row r="1275" spans="1:4" x14ac:dyDescent="0.2">
      <c r="A1275">
        <v>1270</v>
      </c>
      <c r="B1275" s="14">
        <f>'EstExp 12-20'!L176</f>
        <v>3619000</v>
      </c>
      <c r="C1275" s="5">
        <f t="shared" si="17"/>
        <v>-3617730</v>
      </c>
      <c r="D1275" s="6"/>
    </row>
    <row r="1276" spans="1:4" x14ac:dyDescent="0.2">
      <c r="A1276">
        <v>1271</v>
      </c>
      <c r="B1276" s="14">
        <f>'EstExp 12-20'!L178</f>
        <v>3619000</v>
      </c>
      <c r="C1276" s="5">
        <f t="shared" si="17"/>
        <v>-3617729</v>
      </c>
      <c r="D1276" s="6"/>
    </row>
    <row r="1277" spans="1:4" x14ac:dyDescent="0.2">
      <c r="A1277">
        <v>1272</v>
      </c>
      <c r="B1277" s="14">
        <f>'EstExp 12-20'!L179</f>
        <v>0</v>
      </c>
      <c r="C1277" s="5">
        <f t="shared" si="17"/>
        <v>1272</v>
      </c>
      <c r="D1277" s="6"/>
    </row>
    <row r="1278" spans="1:4" x14ac:dyDescent="0.2">
      <c r="A1278" s="3">
        <v>1273</v>
      </c>
      <c r="D1278" s="7"/>
    </row>
    <row r="1279" spans="1:4" x14ac:dyDescent="0.2">
      <c r="A1279">
        <v>1274</v>
      </c>
      <c r="B1279" s="14">
        <f>'EstExp 12-20'!D186</f>
        <v>59000</v>
      </c>
      <c r="C1279" s="5">
        <f t="shared" si="17"/>
        <v>-57726</v>
      </c>
      <c r="D1279" s="6"/>
    </row>
    <row r="1280" spans="1:4" x14ac:dyDescent="0.2">
      <c r="A1280" s="3">
        <v>1275</v>
      </c>
      <c r="D1280" s="6"/>
    </row>
    <row r="1281" spans="1:4" x14ac:dyDescent="0.2">
      <c r="A1281" s="3">
        <v>1276</v>
      </c>
      <c r="D1281" s="7"/>
    </row>
    <row r="1282" spans="1:4" x14ac:dyDescent="0.2">
      <c r="A1282">
        <v>1277</v>
      </c>
      <c r="B1282" s="14">
        <f>'EstExp 12-20'!D187</f>
        <v>0</v>
      </c>
      <c r="C1282" s="5">
        <f t="shared" si="17"/>
        <v>1277</v>
      </c>
      <c r="D1282" s="6"/>
    </row>
    <row r="1283" spans="1:4" x14ac:dyDescent="0.2">
      <c r="A1283">
        <v>1278</v>
      </c>
      <c r="B1283" s="14">
        <f>'EstExp 12-20'!D188</f>
        <v>59000</v>
      </c>
      <c r="C1283" s="5">
        <f t="shared" si="17"/>
        <v>-57722</v>
      </c>
      <c r="D1283" s="6"/>
    </row>
    <row r="1284" spans="1:4" x14ac:dyDescent="0.2">
      <c r="A1284">
        <v>1279</v>
      </c>
      <c r="B1284" s="14">
        <f>'EstExp 12-20'!D214</f>
        <v>59000</v>
      </c>
      <c r="C1284" s="5">
        <f t="shared" si="17"/>
        <v>-57721</v>
      </c>
      <c r="D1284" s="6"/>
    </row>
    <row r="1285" spans="1:4" x14ac:dyDescent="0.2">
      <c r="A1285">
        <v>1280</v>
      </c>
      <c r="B1285" s="14">
        <f>'EstExp 12-20'!E186</f>
        <v>2500</v>
      </c>
      <c r="C1285" s="5">
        <f t="shared" si="17"/>
        <v>-1220</v>
      </c>
      <c r="D1285" s="6"/>
    </row>
    <row r="1286" spans="1:4" x14ac:dyDescent="0.2">
      <c r="A1286" s="3">
        <v>1281</v>
      </c>
      <c r="D1286" s="7"/>
    </row>
    <row r="1287" spans="1:4" x14ac:dyDescent="0.2">
      <c r="A1287" s="3">
        <v>1282</v>
      </c>
      <c r="D1287" s="7"/>
    </row>
    <row r="1288" spans="1:4" x14ac:dyDescent="0.2">
      <c r="A1288">
        <v>1283</v>
      </c>
      <c r="B1288" s="14">
        <f>'EstExp 12-20'!E187</f>
        <v>0</v>
      </c>
      <c r="C1288" s="5">
        <f t="shared" ref="C1288:C1351" si="18">A1288-B1288</f>
        <v>1283</v>
      </c>
      <c r="D1288" s="6"/>
    </row>
    <row r="1289" spans="1:4" x14ac:dyDescent="0.2">
      <c r="A1289">
        <v>1284</v>
      </c>
      <c r="B1289" s="14">
        <f>'EstExp 12-20'!E188</f>
        <v>2500</v>
      </c>
      <c r="C1289" s="5">
        <f t="shared" si="18"/>
        <v>-1216</v>
      </c>
      <c r="D1289" s="6"/>
    </row>
    <row r="1290" spans="1:4" x14ac:dyDescent="0.2">
      <c r="A1290">
        <v>1285</v>
      </c>
      <c r="B1290" s="14">
        <f>'EstExp 12-20'!E214</f>
        <v>2500</v>
      </c>
      <c r="C1290" s="5">
        <f t="shared" si="18"/>
        <v>-1215</v>
      </c>
      <c r="D1290" s="6"/>
    </row>
    <row r="1291" spans="1:4" x14ac:dyDescent="0.2">
      <c r="A1291">
        <v>1286</v>
      </c>
      <c r="B1291" s="14">
        <f>'EstExp 12-20'!F186</f>
        <v>1188500</v>
      </c>
      <c r="C1291" s="5">
        <f t="shared" si="18"/>
        <v>-1187214</v>
      </c>
      <c r="D1291" s="6"/>
    </row>
    <row r="1292" spans="1:4" x14ac:dyDescent="0.2">
      <c r="A1292" s="3">
        <v>1287</v>
      </c>
      <c r="D1292" s="7"/>
    </row>
    <row r="1293" spans="1:4" x14ac:dyDescent="0.2">
      <c r="A1293" s="3">
        <v>1288</v>
      </c>
      <c r="D1293" s="7"/>
    </row>
    <row r="1294" spans="1:4" x14ac:dyDescent="0.2">
      <c r="A1294">
        <v>1289</v>
      </c>
      <c r="B1294" s="14">
        <f>'EstExp 12-20'!F187</f>
        <v>0</v>
      </c>
      <c r="C1294" s="5">
        <f t="shared" si="18"/>
        <v>1289</v>
      </c>
      <c r="D1294" s="6"/>
    </row>
    <row r="1295" spans="1:4" x14ac:dyDescent="0.2">
      <c r="A1295">
        <v>1290</v>
      </c>
      <c r="B1295" s="14">
        <f>'EstExp 12-20'!F188</f>
        <v>1188500</v>
      </c>
      <c r="C1295" s="5">
        <f t="shared" si="18"/>
        <v>-1187210</v>
      </c>
      <c r="D1295" s="6"/>
    </row>
    <row r="1296" spans="1:4" x14ac:dyDescent="0.2">
      <c r="A1296">
        <v>1291</v>
      </c>
      <c r="B1296" s="14">
        <f>'EstExp 12-20'!F200</f>
        <v>0</v>
      </c>
      <c r="C1296" s="5">
        <f t="shared" si="18"/>
        <v>1291</v>
      </c>
      <c r="D1296" s="6"/>
    </row>
    <row r="1297" spans="1:4" x14ac:dyDescent="0.2">
      <c r="A1297">
        <v>1292</v>
      </c>
      <c r="B1297" s="14">
        <f>'EstExp 12-20'!F214</f>
        <v>1188500</v>
      </c>
      <c r="C1297" s="5">
        <f t="shared" si="18"/>
        <v>-1187208</v>
      </c>
      <c r="D1297" s="6"/>
    </row>
    <row r="1298" spans="1:4" x14ac:dyDescent="0.2">
      <c r="A1298">
        <v>1293</v>
      </c>
      <c r="B1298" s="14">
        <f>'EstExp 12-20'!G186</f>
        <v>0</v>
      </c>
      <c r="C1298" s="5">
        <f t="shared" si="18"/>
        <v>1293</v>
      </c>
      <c r="D1298" s="6"/>
    </row>
    <row r="1299" spans="1:4" x14ac:dyDescent="0.2">
      <c r="A1299" s="3">
        <v>1294</v>
      </c>
      <c r="D1299" s="7"/>
    </row>
    <row r="1300" spans="1:4" x14ac:dyDescent="0.2">
      <c r="A1300" s="3">
        <v>1295</v>
      </c>
      <c r="D1300" s="7"/>
    </row>
    <row r="1301" spans="1:4" x14ac:dyDescent="0.2">
      <c r="A1301">
        <v>1296</v>
      </c>
      <c r="B1301" s="14">
        <f>'EstExp 12-20'!G187</f>
        <v>0</v>
      </c>
      <c r="C1301" s="5">
        <f t="shared" si="18"/>
        <v>1296</v>
      </c>
      <c r="D1301" s="6"/>
    </row>
    <row r="1302" spans="1:4" x14ac:dyDescent="0.2">
      <c r="A1302">
        <v>1297</v>
      </c>
      <c r="B1302" s="14">
        <f>'EstExp 12-20'!G188</f>
        <v>0</v>
      </c>
      <c r="C1302" s="5">
        <f t="shared" si="18"/>
        <v>1297</v>
      </c>
      <c r="D1302" s="6"/>
    </row>
    <row r="1303" spans="1:4" x14ac:dyDescent="0.2">
      <c r="A1303">
        <v>1298</v>
      </c>
      <c r="B1303" s="14">
        <f>'EstExp 12-20'!G214</f>
        <v>0</v>
      </c>
      <c r="C1303" s="5">
        <f t="shared" si="18"/>
        <v>1298</v>
      </c>
      <c r="D1303" s="6"/>
    </row>
    <row r="1304" spans="1:4" x14ac:dyDescent="0.2">
      <c r="A1304">
        <v>1299</v>
      </c>
      <c r="B1304" s="14">
        <f>'EstExp 12-20'!H186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12-20'!H187</f>
        <v>0</v>
      </c>
      <c r="C1307" s="5">
        <f t="shared" si="18"/>
        <v>1302</v>
      </c>
      <c r="D1307" s="6"/>
    </row>
    <row r="1308" spans="1:4" x14ac:dyDescent="0.2">
      <c r="A1308">
        <v>1303</v>
      </c>
      <c r="B1308" s="14">
        <f>'EstExp 12-20'!H188</f>
        <v>0</v>
      </c>
      <c r="C1308" s="5">
        <f t="shared" si="18"/>
        <v>1303</v>
      </c>
      <c r="D1308" s="6"/>
    </row>
    <row r="1309" spans="1:4" x14ac:dyDescent="0.2">
      <c r="A1309">
        <v>1304</v>
      </c>
      <c r="B1309" s="14">
        <f>'EstExp 12-20'!H214</f>
        <v>0</v>
      </c>
      <c r="C1309" s="5">
        <f t="shared" si="18"/>
        <v>1304</v>
      </c>
      <c r="D1309" s="6"/>
    </row>
    <row r="1310" spans="1:4" x14ac:dyDescent="0.2">
      <c r="A1310">
        <v>1305</v>
      </c>
      <c r="B1310" s="14">
        <f>'EstExp 12-20'!I186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12-20'!I187</f>
        <v>0</v>
      </c>
      <c r="C1313" s="5">
        <f t="shared" si="18"/>
        <v>1308</v>
      </c>
      <c r="D1313" s="6"/>
    </row>
    <row r="1314" spans="1:4" x14ac:dyDescent="0.2">
      <c r="A1314">
        <v>1309</v>
      </c>
      <c r="B1314" s="14">
        <f>'EstExp 12-20'!I188</f>
        <v>0</v>
      </c>
      <c r="C1314" s="5">
        <f t="shared" si="18"/>
        <v>1309</v>
      </c>
      <c r="D1314" s="6"/>
    </row>
    <row r="1315" spans="1:4" x14ac:dyDescent="0.2">
      <c r="A1315">
        <v>1310</v>
      </c>
      <c r="B1315" s="14">
        <f>'EstExp 12-20'!I203</f>
        <v>0</v>
      </c>
      <c r="C1315" s="5">
        <f t="shared" si="18"/>
        <v>1310</v>
      </c>
      <c r="D1315" s="6"/>
    </row>
    <row r="1316" spans="1:4" x14ac:dyDescent="0.2">
      <c r="A1316">
        <v>1311</v>
      </c>
      <c r="B1316" s="14">
        <f>'EstExp 12-20'!I204</f>
        <v>0</v>
      </c>
      <c r="C1316" s="5">
        <f t="shared" si="18"/>
        <v>1311</v>
      </c>
      <c r="D1316" s="6"/>
    </row>
    <row r="1317" spans="1:4" x14ac:dyDescent="0.2">
      <c r="A1317">
        <v>1312</v>
      </c>
      <c r="B1317" s="14">
        <f>'EstExp 12-20'!I207</f>
        <v>0</v>
      </c>
      <c r="C1317" s="5">
        <f t="shared" si="18"/>
        <v>1312</v>
      </c>
      <c r="D1317" s="6"/>
    </row>
    <row r="1318" spans="1:4" x14ac:dyDescent="0.2">
      <c r="A1318" s="3">
        <v>1313</v>
      </c>
      <c r="D1318" s="7"/>
    </row>
    <row r="1319" spans="1:4" x14ac:dyDescent="0.2">
      <c r="A1319">
        <v>1314</v>
      </c>
      <c r="B1319" s="14">
        <f>'EstExp 12-20'!I212</f>
        <v>0</v>
      </c>
      <c r="C1319" s="5">
        <f t="shared" si="18"/>
        <v>1314</v>
      </c>
      <c r="D1319" s="6"/>
    </row>
    <row r="1320" spans="1:4" x14ac:dyDescent="0.2">
      <c r="A1320">
        <v>1315</v>
      </c>
      <c r="B1320" s="14">
        <f>'EstExp 12-20'!I214</f>
        <v>0</v>
      </c>
      <c r="C1320" s="5">
        <f t="shared" si="18"/>
        <v>1315</v>
      </c>
      <c r="D1320" s="6"/>
    </row>
    <row r="1321" spans="1:4" x14ac:dyDescent="0.2">
      <c r="A1321">
        <v>1316</v>
      </c>
      <c r="B1321" s="14">
        <f>'EstExp 12-20'!L186</f>
        <v>1250000</v>
      </c>
      <c r="C1321" s="5">
        <f t="shared" si="18"/>
        <v>-1248684</v>
      </c>
      <c r="D1321" s="6"/>
    </row>
    <row r="1322" spans="1:4" x14ac:dyDescent="0.2">
      <c r="A1322" s="3">
        <v>1317</v>
      </c>
      <c r="D1322" s="7"/>
    </row>
    <row r="1323" spans="1:4" x14ac:dyDescent="0.2">
      <c r="A1323" s="3">
        <v>1318</v>
      </c>
      <c r="D1323" s="7"/>
    </row>
    <row r="1324" spans="1:4" x14ac:dyDescent="0.2">
      <c r="A1324">
        <v>1319</v>
      </c>
      <c r="B1324" s="14">
        <f>'EstExp 12-20'!L187</f>
        <v>0</v>
      </c>
      <c r="C1324" s="5">
        <f t="shared" si="18"/>
        <v>1319</v>
      </c>
      <c r="D1324" s="6"/>
    </row>
    <row r="1325" spans="1:4" x14ac:dyDescent="0.2">
      <c r="A1325">
        <v>1320</v>
      </c>
      <c r="B1325" s="14">
        <f>'EstExp 12-20'!L188</f>
        <v>1250000</v>
      </c>
      <c r="C1325" s="5">
        <f t="shared" si="18"/>
        <v>-1248680</v>
      </c>
      <c r="D1325" s="6"/>
    </row>
    <row r="1326" spans="1:4" x14ac:dyDescent="0.2">
      <c r="A1326">
        <v>1321</v>
      </c>
      <c r="B1326" s="14">
        <f>'EstExp 12-20'!L200</f>
        <v>0</v>
      </c>
      <c r="C1326" s="5">
        <f t="shared" si="18"/>
        <v>1321</v>
      </c>
      <c r="D1326" s="6"/>
    </row>
    <row r="1327" spans="1:4" x14ac:dyDescent="0.2">
      <c r="A1327">
        <v>1322</v>
      </c>
      <c r="B1327" s="14">
        <f>'EstExp 12-20'!L203</f>
        <v>0</v>
      </c>
      <c r="C1327" s="5">
        <f t="shared" si="18"/>
        <v>1322</v>
      </c>
      <c r="D1327" s="6"/>
    </row>
    <row r="1328" spans="1:4" x14ac:dyDescent="0.2">
      <c r="A1328">
        <v>1323</v>
      </c>
      <c r="B1328" s="14">
        <f>'EstExp 12-20'!L204</f>
        <v>0</v>
      </c>
      <c r="C1328" s="5">
        <f t="shared" si="18"/>
        <v>1323</v>
      </c>
      <c r="D1328" s="6"/>
    </row>
    <row r="1329" spans="1:4" x14ac:dyDescent="0.2">
      <c r="A1329">
        <v>1324</v>
      </c>
      <c r="B1329" s="14">
        <f>'EstExp 12-20'!L207</f>
        <v>0</v>
      </c>
      <c r="C1329" s="5">
        <f t="shared" si="18"/>
        <v>1324</v>
      </c>
      <c r="D1329" s="6"/>
    </row>
    <row r="1330" spans="1:4" x14ac:dyDescent="0.2">
      <c r="A1330" s="3">
        <v>1325</v>
      </c>
      <c r="D1330" s="7"/>
    </row>
    <row r="1331" spans="1:4" x14ac:dyDescent="0.2">
      <c r="A1331">
        <v>1326</v>
      </c>
      <c r="B1331" s="14">
        <f>'EstExp 12-20'!L212</f>
        <v>0</v>
      </c>
      <c r="C1331" s="5">
        <f t="shared" si="18"/>
        <v>1326</v>
      </c>
      <c r="D1331" s="6"/>
    </row>
    <row r="1332" spans="1:4" x14ac:dyDescent="0.2">
      <c r="A1332">
        <v>1327</v>
      </c>
      <c r="B1332" s="14">
        <f>'EstExp 12-20'!L214</f>
        <v>1250000</v>
      </c>
      <c r="C1332" s="5">
        <f t="shared" si="18"/>
        <v>-1248673</v>
      </c>
      <c r="D1332" s="6"/>
    </row>
    <row r="1333" spans="1:4" x14ac:dyDescent="0.2">
      <c r="A1333">
        <v>1328</v>
      </c>
      <c r="B1333" s="14">
        <f>'EstExp 12-20'!L215</f>
        <v>0</v>
      </c>
      <c r="C1333" s="5">
        <f t="shared" si="18"/>
        <v>1328</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12-20'!E229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12-20'!E231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12-20'!E225</f>
        <v>0</v>
      </c>
      <c r="C1350" s="5">
        <f t="shared" si="18"/>
        <v>1345</v>
      </c>
      <c r="D1350" s="6"/>
    </row>
    <row r="1351" spans="1:4" x14ac:dyDescent="0.2">
      <c r="A1351">
        <v>1346</v>
      </c>
      <c r="B1351" s="14">
        <f>'EstExp 12-20'!E226</f>
        <v>0</v>
      </c>
      <c r="C1351" s="5">
        <f t="shared" si="18"/>
        <v>1346</v>
      </c>
      <c r="D1351" s="6"/>
    </row>
    <row r="1352" spans="1:4" x14ac:dyDescent="0.2">
      <c r="A1352">
        <v>1347</v>
      </c>
      <c r="B1352" s="14">
        <f>'EstExp 12-20'!E227</f>
        <v>0</v>
      </c>
      <c r="C1352" s="5">
        <f t="shared" ref="C1352:C1415" si="19">A1352-B1352</f>
        <v>1347</v>
      </c>
      <c r="D1352" s="6"/>
    </row>
    <row r="1353" spans="1:4" x14ac:dyDescent="0.2">
      <c r="A1353">
        <v>1348</v>
      </c>
      <c r="B1353" s="14">
        <f>'EstExp 12-20'!E228</f>
        <v>0</v>
      </c>
      <c r="C1353" s="5">
        <f t="shared" si="19"/>
        <v>1348</v>
      </c>
      <c r="D1353" s="6"/>
    </row>
    <row r="1354" spans="1:4" x14ac:dyDescent="0.2">
      <c r="A1354">
        <v>1349</v>
      </c>
      <c r="B1354" s="14">
        <f>'EstExp 12-20'!E233</f>
        <v>3400000</v>
      </c>
      <c r="C1354" s="5">
        <f t="shared" si="19"/>
        <v>-3398651</v>
      </c>
      <c r="D1354" s="6"/>
    </row>
    <row r="1355" spans="1:4" x14ac:dyDescent="0.2">
      <c r="A1355">
        <v>1350</v>
      </c>
      <c r="B1355" s="14">
        <f>'EstExp 12-20'!E236</f>
        <v>0</v>
      </c>
      <c r="C1355" s="5">
        <f t="shared" si="19"/>
        <v>1350</v>
      </c>
      <c r="D1355" s="6"/>
    </row>
    <row r="1356" spans="1:4" x14ac:dyDescent="0.2">
      <c r="A1356">
        <v>1351</v>
      </c>
      <c r="B1356" s="14">
        <f>'EstExp 12-20'!E237</f>
        <v>0</v>
      </c>
      <c r="C1356" s="5">
        <f t="shared" si="19"/>
        <v>1351</v>
      </c>
      <c r="D1356" s="6"/>
    </row>
    <row r="1357" spans="1:4" x14ac:dyDescent="0.2">
      <c r="A1357">
        <v>1352</v>
      </c>
      <c r="B1357" s="14">
        <f>'EstExp 12-20'!E238</f>
        <v>0</v>
      </c>
      <c r="C1357" s="5">
        <f t="shared" si="19"/>
        <v>1352</v>
      </c>
      <c r="D1357" s="6"/>
    </row>
    <row r="1358" spans="1:4" x14ac:dyDescent="0.2">
      <c r="A1358">
        <v>1353</v>
      </c>
      <c r="B1358" s="14">
        <f>'EstExp 12-20'!E239</f>
        <v>0</v>
      </c>
      <c r="C1358" s="5">
        <f t="shared" si="19"/>
        <v>1353</v>
      </c>
      <c r="D1358" s="6"/>
    </row>
    <row r="1359" spans="1:4" x14ac:dyDescent="0.2">
      <c r="A1359">
        <v>1354</v>
      </c>
      <c r="B1359" s="14">
        <f>'EstExp 12-20'!E240</f>
        <v>0</v>
      </c>
      <c r="C1359" s="5">
        <f t="shared" si="19"/>
        <v>1354</v>
      </c>
      <c r="D1359" s="6"/>
    </row>
    <row r="1360" spans="1:4" x14ac:dyDescent="0.2">
      <c r="A1360">
        <v>1355</v>
      </c>
      <c r="B1360" s="14">
        <f>'EstExp 12-20'!E241</f>
        <v>0</v>
      </c>
      <c r="C1360" s="5">
        <f t="shared" si="19"/>
        <v>1355</v>
      </c>
      <c r="D1360" s="6"/>
    </row>
    <row r="1361" spans="1:4" x14ac:dyDescent="0.2">
      <c r="A1361">
        <v>1356</v>
      </c>
      <c r="B1361" s="14">
        <f>'EstExp 12-20'!E242</f>
        <v>0</v>
      </c>
      <c r="C1361" s="5">
        <f t="shared" si="19"/>
        <v>1356</v>
      </c>
      <c r="D1361" s="6"/>
    </row>
    <row r="1362" spans="1:4" x14ac:dyDescent="0.2">
      <c r="A1362">
        <v>1357</v>
      </c>
      <c r="B1362" s="14">
        <f>'EstExp 12-20'!E244</f>
        <v>0</v>
      </c>
      <c r="C1362" s="5">
        <f t="shared" si="19"/>
        <v>1357</v>
      </c>
      <c r="D1362" s="6"/>
    </row>
    <row r="1363" spans="1:4" x14ac:dyDescent="0.2">
      <c r="A1363">
        <v>1358</v>
      </c>
      <c r="B1363" s="14">
        <f>'EstExp 12-20'!E245</f>
        <v>0</v>
      </c>
      <c r="C1363" s="5">
        <f t="shared" si="19"/>
        <v>1358</v>
      </c>
      <c r="D1363" s="6"/>
    </row>
    <row r="1364" spans="1:4" x14ac:dyDescent="0.2">
      <c r="A1364">
        <v>1359</v>
      </c>
      <c r="B1364" s="14">
        <f>'EstExp 12-20'!E246</f>
        <v>0</v>
      </c>
      <c r="C1364" s="5">
        <f t="shared" si="19"/>
        <v>1359</v>
      </c>
      <c r="D1364" s="6"/>
    </row>
    <row r="1365" spans="1:4" x14ac:dyDescent="0.2">
      <c r="A1365">
        <v>1360</v>
      </c>
      <c r="B1365" s="14">
        <f>'EstExp 12-20'!E247</f>
        <v>0</v>
      </c>
      <c r="C1365" s="5">
        <f t="shared" si="19"/>
        <v>1360</v>
      </c>
      <c r="D1365" s="6"/>
    </row>
    <row r="1366" spans="1:4" x14ac:dyDescent="0.2">
      <c r="A1366">
        <v>1361</v>
      </c>
      <c r="B1366" s="14">
        <f>'EstExp 12-20'!E249</f>
        <v>0</v>
      </c>
      <c r="C1366" s="5">
        <f t="shared" si="19"/>
        <v>1361</v>
      </c>
      <c r="D1366" s="6"/>
    </row>
    <row r="1367" spans="1:4" x14ac:dyDescent="0.2">
      <c r="A1367">
        <v>1362</v>
      </c>
      <c r="B1367" s="14">
        <f>'EstExp 12-20'!E250</f>
        <v>0</v>
      </c>
      <c r="C1367" s="5">
        <f t="shared" si="19"/>
        <v>1362</v>
      </c>
      <c r="D1367" s="6"/>
    </row>
    <row r="1368" spans="1:4" x14ac:dyDescent="0.2">
      <c r="A1368">
        <v>1363</v>
      </c>
      <c r="B1368" s="14">
        <f>'EstExp 12-20'!E254</f>
        <v>0</v>
      </c>
      <c r="C1368" s="5">
        <f t="shared" si="19"/>
        <v>1363</v>
      </c>
      <c r="D1368" s="6"/>
    </row>
    <row r="1369" spans="1:4" x14ac:dyDescent="0.2">
      <c r="A1369">
        <v>1364</v>
      </c>
      <c r="B1369" s="14">
        <f>'EstExp 12-20'!E256</f>
        <v>0</v>
      </c>
      <c r="C1369" s="5">
        <f t="shared" si="19"/>
        <v>1364</v>
      </c>
      <c r="D1369" s="6"/>
    </row>
    <row r="1370" spans="1:4" x14ac:dyDescent="0.2">
      <c r="A1370">
        <v>1365</v>
      </c>
      <c r="B1370" s="14">
        <f>'EstExp 12-20'!E257</f>
        <v>0</v>
      </c>
      <c r="C1370" s="5">
        <f t="shared" si="19"/>
        <v>1365</v>
      </c>
      <c r="D1370" s="6"/>
    </row>
    <row r="1371" spans="1:4" x14ac:dyDescent="0.2">
      <c r="A1371">
        <v>1366</v>
      </c>
      <c r="B1371" s="14">
        <f>'EstExp 12-20'!E258</f>
        <v>0</v>
      </c>
      <c r="C1371" s="5">
        <f t="shared" si="19"/>
        <v>1366</v>
      </c>
      <c r="D1371" s="6"/>
    </row>
    <row r="1372" spans="1:4" x14ac:dyDescent="0.2">
      <c r="A1372">
        <v>1367</v>
      </c>
      <c r="B1372" s="14">
        <f>'EstExp 12-20'!E260</f>
        <v>0</v>
      </c>
      <c r="C1372" s="5">
        <f t="shared" si="19"/>
        <v>1367</v>
      </c>
      <c r="D1372" s="6"/>
    </row>
    <row r="1373" spans="1:4" x14ac:dyDescent="0.2">
      <c r="A1373">
        <v>1368</v>
      </c>
      <c r="B1373" s="14">
        <f>'EstExp 12-20'!E261</f>
        <v>0</v>
      </c>
      <c r="C1373" s="5">
        <f t="shared" si="19"/>
        <v>1368</v>
      </c>
      <c r="D1373" s="6"/>
    </row>
    <row r="1374" spans="1:4" x14ac:dyDescent="0.2">
      <c r="A1374">
        <v>1369</v>
      </c>
      <c r="B1374" s="14">
        <f>'EstExp 12-20'!E262</f>
        <v>0</v>
      </c>
      <c r="C1374" s="5">
        <f t="shared" si="19"/>
        <v>1369</v>
      </c>
      <c r="D1374" s="6"/>
    </row>
    <row r="1375" spans="1:4" x14ac:dyDescent="0.2">
      <c r="A1375">
        <v>1370</v>
      </c>
      <c r="B1375" s="14">
        <f>'EstExp 12-20'!E263</f>
        <v>0</v>
      </c>
      <c r="C1375" s="5">
        <f t="shared" si="19"/>
        <v>1370</v>
      </c>
      <c r="D1375" s="6"/>
    </row>
    <row r="1376" spans="1:4" x14ac:dyDescent="0.2">
      <c r="A1376">
        <v>1371</v>
      </c>
      <c r="B1376" s="14">
        <f>'EstExp 12-20'!E264</f>
        <v>0</v>
      </c>
      <c r="C1376" s="5">
        <f t="shared" si="19"/>
        <v>1371</v>
      </c>
      <c r="D1376" s="6"/>
    </row>
    <row r="1377" spans="1:4" x14ac:dyDescent="0.2">
      <c r="A1377">
        <v>1372</v>
      </c>
      <c r="B1377" s="14">
        <f>'EstExp 12-20'!E265</f>
        <v>0</v>
      </c>
      <c r="C1377" s="5">
        <f t="shared" si="19"/>
        <v>1372</v>
      </c>
      <c r="D1377" s="6"/>
    </row>
    <row r="1378" spans="1:4" x14ac:dyDescent="0.2">
      <c r="A1378">
        <v>1373</v>
      </c>
      <c r="B1378" s="14">
        <f>'EstExp 12-20'!E266</f>
        <v>0</v>
      </c>
      <c r="C1378" s="5">
        <f t="shared" si="19"/>
        <v>1373</v>
      </c>
      <c r="D1378" s="6"/>
    </row>
    <row r="1379" spans="1:4" x14ac:dyDescent="0.2">
      <c r="A1379" s="3">
        <v>1374</v>
      </c>
      <c r="D1379" s="7"/>
    </row>
    <row r="1380" spans="1:4" x14ac:dyDescent="0.2">
      <c r="A1380">
        <v>1375</v>
      </c>
      <c r="B1380" s="14">
        <f>'EstExp 12-20'!E267</f>
        <v>0</v>
      </c>
      <c r="C1380" s="5">
        <f t="shared" si="19"/>
        <v>1375</v>
      </c>
      <c r="D1380" s="6"/>
    </row>
    <row r="1381" spans="1:4" x14ac:dyDescent="0.2">
      <c r="A1381">
        <v>1376</v>
      </c>
      <c r="B1381" s="14">
        <f>'EstExp 12-20'!E269</f>
        <v>0</v>
      </c>
      <c r="C1381" s="5">
        <f t="shared" si="19"/>
        <v>1376</v>
      </c>
      <c r="D1381" s="6"/>
    </row>
    <row r="1382" spans="1:4" x14ac:dyDescent="0.2">
      <c r="A1382">
        <v>1377</v>
      </c>
      <c r="B1382" s="14">
        <f>'EstExp 12-20'!E270</f>
        <v>0</v>
      </c>
      <c r="C1382" s="5">
        <f t="shared" si="19"/>
        <v>1377</v>
      </c>
      <c r="D1382" s="6"/>
    </row>
    <row r="1383" spans="1:4" x14ac:dyDescent="0.2">
      <c r="A1383">
        <v>1378</v>
      </c>
      <c r="B1383" s="14">
        <f>'EstExp 12-20'!E271</f>
        <v>0</v>
      </c>
      <c r="C1383" s="5">
        <f t="shared" si="19"/>
        <v>1378</v>
      </c>
      <c r="D1383" s="6"/>
    </row>
    <row r="1384" spans="1:4" x14ac:dyDescent="0.2">
      <c r="A1384">
        <v>1379</v>
      </c>
      <c r="B1384" s="14">
        <f>'EstExp 12-20'!E272</f>
        <v>0</v>
      </c>
      <c r="C1384" s="5">
        <f t="shared" si="19"/>
        <v>1379</v>
      </c>
      <c r="D1384" s="6"/>
    </row>
    <row r="1385" spans="1:4" x14ac:dyDescent="0.2">
      <c r="A1385" s="3">
        <v>1380</v>
      </c>
      <c r="D1385" s="7"/>
    </row>
    <row r="1386" spans="1:4" x14ac:dyDescent="0.2">
      <c r="A1386">
        <v>1381</v>
      </c>
      <c r="B1386" s="14">
        <f>'EstExp 12-20'!E273</f>
        <v>0</v>
      </c>
      <c r="C1386" s="5">
        <f t="shared" si="19"/>
        <v>1381</v>
      </c>
      <c r="D1386" s="6"/>
    </row>
    <row r="1387" spans="1:4" x14ac:dyDescent="0.2">
      <c r="A1387" s="3">
        <v>1382</v>
      </c>
      <c r="D1387" s="7"/>
    </row>
    <row r="1388" spans="1:4" x14ac:dyDescent="0.2">
      <c r="A1388">
        <v>1383</v>
      </c>
      <c r="B1388" s="14">
        <f>'EstExp 12-20'!E274</f>
        <v>0</v>
      </c>
      <c r="C1388" s="5">
        <f t="shared" si="19"/>
        <v>1383</v>
      </c>
      <c r="D1388" s="6"/>
    </row>
    <row r="1389" spans="1:4" x14ac:dyDescent="0.2">
      <c r="A1389">
        <v>1384</v>
      </c>
      <c r="B1389" s="14">
        <f>'EstExp 12-20'!E275</f>
        <v>0</v>
      </c>
      <c r="C1389" s="5">
        <f t="shared" si="19"/>
        <v>1384</v>
      </c>
      <c r="D1389" s="6"/>
    </row>
    <row r="1390" spans="1:4" x14ac:dyDescent="0.2">
      <c r="A1390">
        <v>1385</v>
      </c>
      <c r="B1390" s="14">
        <f>'EstExp 12-20'!E276</f>
        <v>0</v>
      </c>
      <c r="C1390" s="5">
        <f t="shared" si="19"/>
        <v>1385</v>
      </c>
      <c r="D1390" s="6"/>
    </row>
    <row r="1391" spans="1:4" x14ac:dyDescent="0.2">
      <c r="A1391">
        <v>1386</v>
      </c>
      <c r="B1391" s="14">
        <f>'EstExp 12-20'!E277</f>
        <v>0</v>
      </c>
      <c r="C1391" s="5">
        <f t="shared" si="19"/>
        <v>1386</v>
      </c>
      <c r="D1391" s="6"/>
    </row>
    <row r="1392" spans="1:4" x14ac:dyDescent="0.2">
      <c r="A1392">
        <v>1387</v>
      </c>
      <c r="B1392" s="14">
        <f>'EstExp 12-20'!E292</f>
        <v>3400000</v>
      </c>
      <c r="C1392" s="5">
        <f t="shared" si="19"/>
        <v>-3398613</v>
      </c>
      <c r="D1392" s="6"/>
    </row>
    <row r="1393" spans="1:4" x14ac:dyDescent="0.2">
      <c r="A1393">
        <v>1388</v>
      </c>
      <c r="B1393" s="14">
        <f>'EstExp 12-20'!I285</f>
        <v>0</v>
      </c>
      <c r="C1393" s="5">
        <f t="shared" si="19"/>
        <v>1388</v>
      </c>
      <c r="D1393" s="6"/>
    </row>
    <row r="1394" spans="1:4" x14ac:dyDescent="0.2">
      <c r="A1394">
        <v>1389</v>
      </c>
      <c r="B1394" s="14">
        <f>'EstExp 12-20'!I286</f>
        <v>0</v>
      </c>
      <c r="C1394" s="5">
        <f t="shared" si="19"/>
        <v>1389</v>
      </c>
      <c r="D1394" s="6"/>
    </row>
    <row r="1395" spans="1:4" x14ac:dyDescent="0.2">
      <c r="A1395">
        <v>1390</v>
      </c>
      <c r="B1395" s="14">
        <f>'EstExp 12-20'!I289</f>
        <v>0</v>
      </c>
      <c r="C1395" s="5">
        <f t="shared" si="19"/>
        <v>1390</v>
      </c>
      <c r="D1395" s="6"/>
    </row>
    <row r="1396" spans="1:4" x14ac:dyDescent="0.2">
      <c r="A1396">
        <v>1391</v>
      </c>
      <c r="B1396" s="14">
        <f>'EstExp 12-20'!I290</f>
        <v>0</v>
      </c>
      <c r="C1396" s="5">
        <f t="shared" si="19"/>
        <v>1391</v>
      </c>
      <c r="D1396" s="6"/>
    </row>
    <row r="1397" spans="1:4" x14ac:dyDescent="0.2">
      <c r="A1397" s="3">
        <v>1392</v>
      </c>
      <c r="D1397" s="7"/>
    </row>
    <row r="1398" spans="1:4" x14ac:dyDescent="0.2">
      <c r="A1398">
        <v>1393</v>
      </c>
      <c r="B1398" s="14">
        <f>'EstExp 12-20'!I292</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12-20'!L229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12-20'!L231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12-20'!L225</f>
        <v>0</v>
      </c>
      <c r="C1414" s="5">
        <f t="shared" si="19"/>
        <v>1409</v>
      </c>
      <c r="D1414" s="6"/>
    </row>
    <row r="1415" spans="1:4" x14ac:dyDescent="0.2">
      <c r="A1415">
        <v>1410</v>
      </c>
      <c r="B1415" s="14">
        <f>'EstExp 12-20'!L226</f>
        <v>0</v>
      </c>
      <c r="C1415" s="5">
        <f t="shared" si="19"/>
        <v>1410</v>
      </c>
      <c r="D1415" s="6"/>
    </row>
    <row r="1416" spans="1:4" x14ac:dyDescent="0.2">
      <c r="A1416">
        <v>1411</v>
      </c>
      <c r="B1416" s="14">
        <f>'EstExp 12-20'!L227</f>
        <v>0</v>
      </c>
      <c r="C1416" s="5">
        <f t="shared" ref="C1416:C1479" si="20">A1416-B1416</f>
        <v>1411</v>
      </c>
      <c r="D1416" s="6"/>
    </row>
    <row r="1417" spans="1:4" x14ac:dyDescent="0.2">
      <c r="A1417">
        <v>1412</v>
      </c>
      <c r="B1417" s="14">
        <f>'EstExp 12-20'!L228</f>
        <v>0</v>
      </c>
      <c r="C1417" s="5">
        <f t="shared" si="20"/>
        <v>1412</v>
      </c>
      <c r="D1417" s="6"/>
    </row>
    <row r="1418" spans="1:4" x14ac:dyDescent="0.2">
      <c r="A1418">
        <v>1413</v>
      </c>
      <c r="B1418" s="14">
        <f>'EstExp 12-20'!L233</f>
        <v>3400000</v>
      </c>
      <c r="C1418" s="5">
        <f t="shared" si="20"/>
        <v>-3398587</v>
      </c>
      <c r="D1418" s="6"/>
    </row>
    <row r="1419" spans="1:4" x14ac:dyDescent="0.2">
      <c r="A1419">
        <v>1414</v>
      </c>
      <c r="B1419" s="14">
        <f>'EstExp 12-20'!L236</f>
        <v>0</v>
      </c>
      <c r="C1419" s="5">
        <f t="shared" si="20"/>
        <v>1414</v>
      </c>
      <c r="D1419" s="6"/>
    </row>
    <row r="1420" spans="1:4" x14ac:dyDescent="0.2">
      <c r="A1420">
        <v>1415</v>
      </c>
      <c r="B1420" s="14">
        <f>'EstExp 12-20'!L237</f>
        <v>0</v>
      </c>
      <c r="C1420" s="5">
        <f t="shared" si="20"/>
        <v>1415</v>
      </c>
      <c r="D1420" s="6"/>
    </row>
    <row r="1421" spans="1:4" x14ac:dyDescent="0.2">
      <c r="A1421">
        <v>1416</v>
      </c>
      <c r="B1421" s="14">
        <f>'EstExp 12-20'!L238</f>
        <v>0</v>
      </c>
      <c r="C1421" s="5">
        <f t="shared" si="20"/>
        <v>1416</v>
      </c>
      <c r="D1421" s="6"/>
    </row>
    <row r="1422" spans="1:4" x14ac:dyDescent="0.2">
      <c r="A1422">
        <v>1417</v>
      </c>
      <c r="B1422" s="14">
        <f>'EstExp 12-20'!L239</f>
        <v>0</v>
      </c>
      <c r="C1422" s="5">
        <f t="shared" si="20"/>
        <v>1417</v>
      </c>
      <c r="D1422" s="6"/>
    </row>
    <row r="1423" spans="1:4" x14ac:dyDescent="0.2">
      <c r="A1423">
        <v>1418</v>
      </c>
      <c r="B1423" s="14">
        <f>'EstExp 12-20'!L240</f>
        <v>0</v>
      </c>
      <c r="C1423" s="5">
        <f t="shared" si="20"/>
        <v>1418</v>
      </c>
      <c r="D1423" s="6"/>
    </row>
    <row r="1424" spans="1:4" x14ac:dyDescent="0.2">
      <c r="A1424">
        <v>1419</v>
      </c>
      <c r="B1424" s="14">
        <f>'EstExp 12-20'!L241</f>
        <v>0</v>
      </c>
      <c r="C1424" s="5">
        <f t="shared" si="20"/>
        <v>1419</v>
      </c>
      <c r="D1424" s="6"/>
    </row>
    <row r="1425" spans="1:4" x14ac:dyDescent="0.2">
      <c r="A1425">
        <v>1420</v>
      </c>
      <c r="B1425" s="14">
        <f>'EstExp 12-20'!L242</f>
        <v>0</v>
      </c>
      <c r="C1425" s="5">
        <f t="shared" si="20"/>
        <v>1420</v>
      </c>
      <c r="D1425" s="6"/>
    </row>
    <row r="1426" spans="1:4" x14ac:dyDescent="0.2">
      <c r="A1426">
        <v>1421</v>
      </c>
      <c r="B1426" s="14">
        <f>'EstExp 12-20'!L244</f>
        <v>0</v>
      </c>
      <c r="C1426" s="5">
        <f t="shared" si="20"/>
        <v>1421</v>
      </c>
      <c r="D1426" s="6"/>
    </row>
    <row r="1427" spans="1:4" x14ac:dyDescent="0.2">
      <c r="A1427">
        <v>1422</v>
      </c>
      <c r="B1427" s="14">
        <f>'EstExp 12-20'!L245</f>
        <v>0</v>
      </c>
      <c r="C1427" s="5">
        <f t="shared" si="20"/>
        <v>1422</v>
      </c>
      <c r="D1427" s="6"/>
    </row>
    <row r="1428" spans="1:4" x14ac:dyDescent="0.2">
      <c r="A1428">
        <v>1423</v>
      </c>
      <c r="B1428" s="14">
        <f>'EstExp 12-20'!L246</f>
        <v>0</v>
      </c>
      <c r="C1428" s="5">
        <f t="shared" si="20"/>
        <v>1423</v>
      </c>
      <c r="D1428" s="6"/>
    </row>
    <row r="1429" spans="1:4" x14ac:dyDescent="0.2">
      <c r="A1429">
        <v>1424</v>
      </c>
      <c r="B1429" s="14">
        <f>'EstExp 12-20'!L247</f>
        <v>0</v>
      </c>
      <c r="C1429" s="5">
        <f t="shared" si="20"/>
        <v>1424</v>
      </c>
      <c r="D1429" s="6"/>
    </row>
    <row r="1430" spans="1:4" x14ac:dyDescent="0.2">
      <c r="A1430">
        <v>1425</v>
      </c>
      <c r="B1430" s="14">
        <f>'EstExp 12-20'!L249</f>
        <v>0</v>
      </c>
      <c r="C1430" s="5">
        <f t="shared" si="20"/>
        <v>1425</v>
      </c>
      <c r="D1430" s="6"/>
    </row>
    <row r="1431" spans="1:4" x14ac:dyDescent="0.2">
      <c r="A1431">
        <v>1426</v>
      </c>
      <c r="B1431" s="14">
        <f>'EstExp 12-20'!L250</f>
        <v>0</v>
      </c>
      <c r="C1431" s="5">
        <f t="shared" si="20"/>
        <v>1426</v>
      </c>
      <c r="D1431" s="6"/>
    </row>
    <row r="1432" spans="1:4" x14ac:dyDescent="0.2">
      <c r="A1432">
        <v>1427</v>
      </c>
      <c r="B1432" s="14">
        <f>'EstExp 12-20'!L254</f>
        <v>0</v>
      </c>
      <c r="C1432" s="5">
        <f t="shared" si="20"/>
        <v>1427</v>
      </c>
      <c r="D1432" s="6"/>
    </row>
    <row r="1433" spans="1:4" x14ac:dyDescent="0.2">
      <c r="A1433">
        <v>1428</v>
      </c>
      <c r="B1433" s="14">
        <f>'EstExp 12-20'!L256</f>
        <v>0</v>
      </c>
      <c r="C1433" s="5">
        <f t="shared" si="20"/>
        <v>1428</v>
      </c>
      <c r="D1433" s="6"/>
    </row>
    <row r="1434" spans="1:4" x14ac:dyDescent="0.2">
      <c r="A1434">
        <v>1429</v>
      </c>
      <c r="B1434" s="14">
        <f>'EstExp 12-20'!L257</f>
        <v>0</v>
      </c>
      <c r="C1434" s="5">
        <f t="shared" si="20"/>
        <v>1429</v>
      </c>
      <c r="D1434" s="6"/>
    </row>
    <row r="1435" spans="1:4" x14ac:dyDescent="0.2">
      <c r="A1435">
        <v>1430</v>
      </c>
      <c r="B1435" s="14">
        <f>'EstExp 12-20'!L258</f>
        <v>0</v>
      </c>
      <c r="C1435" s="5">
        <f t="shared" si="20"/>
        <v>1430</v>
      </c>
      <c r="D1435" s="6"/>
    </row>
    <row r="1436" spans="1:4" x14ac:dyDescent="0.2">
      <c r="A1436">
        <v>1431</v>
      </c>
      <c r="B1436" s="14">
        <f>'EstExp 12-20'!L260</f>
        <v>0</v>
      </c>
      <c r="C1436" s="5">
        <f t="shared" si="20"/>
        <v>1431</v>
      </c>
      <c r="D1436" s="6"/>
    </row>
    <row r="1437" spans="1:4" x14ac:dyDescent="0.2">
      <c r="A1437">
        <v>1432</v>
      </c>
      <c r="B1437" s="14">
        <f>'EstExp 12-20'!L261</f>
        <v>0</v>
      </c>
      <c r="C1437" s="5">
        <f t="shared" si="20"/>
        <v>1432</v>
      </c>
      <c r="D1437" s="6"/>
    </row>
    <row r="1438" spans="1:4" x14ac:dyDescent="0.2">
      <c r="A1438">
        <v>1433</v>
      </c>
      <c r="B1438" s="14">
        <f>'EstExp 12-20'!L262</f>
        <v>0</v>
      </c>
      <c r="C1438" s="5">
        <f t="shared" si="20"/>
        <v>1433</v>
      </c>
      <c r="D1438" s="6"/>
    </row>
    <row r="1439" spans="1:4" x14ac:dyDescent="0.2">
      <c r="A1439">
        <v>1434</v>
      </c>
      <c r="B1439" s="14">
        <f>'EstExp 12-20'!L263</f>
        <v>0</v>
      </c>
      <c r="C1439" s="5">
        <f t="shared" si="20"/>
        <v>1434</v>
      </c>
      <c r="D1439" s="6"/>
    </row>
    <row r="1440" spans="1:4" x14ac:dyDescent="0.2">
      <c r="A1440">
        <v>1435</v>
      </c>
      <c r="B1440" s="14">
        <f>'EstExp 12-20'!L264</f>
        <v>0</v>
      </c>
      <c r="C1440" s="5">
        <f t="shared" si="20"/>
        <v>1435</v>
      </c>
      <c r="D1440" s="6"/>
    </row>
    <row r="1441" spans="1:4" x14ac:dyDescent="0.2">
      <c r="A1441">
        <v>1436</v>
      </c>
      <c r="B1441" s="14">
        <f>'EstExp 12-20'!L265</f>
        <v>0</v>
      </c>
      <c r="C1441" s="5">
        <f t="shared" si="20"/>
        <v>1436</v>
      </c>
      <c r="D1441" s="6"/>
    </row>
    <row r="1442" spans="1:4" x14ac:dyDescent="0.2">
      <c r="A1442">
        <v>1437</v>
      </c>
      <c r="B1442" s="14">
        <f>'EstExp 12-20'!L266</f>
        <v>0</v>
      </c>
      <c r="C1442" s="5">
        <f t="shared" si="20"/>
        <v>1437</v>
      </c>
      <c r="D1442" s="6"/>
    </row>
    <row r="1443" spans="1:4" x14ac:dyDescent="0.2">
      <c r="A1443" s="3">
        <v>1438</v>
      </c>
      <c r="D1443" s="7"/>
    </row>
    <row r="1444" spans="1:4" x14ac:dyDescent="0.2">
      <c r="A1444">
        <v>1439</v>
      </c>
      <c r="B1444" s="14">
        <f>'EstExp 12-20'!L267</f>
        <v>0</v>
      </c>
      <c r="C1444" s="5">
        <f t="shared" si="20"/>
        <v>1439</v>
      </c>
      <c r="D1444" s="6"/>
    </row>
    <row r="1445" spans="1:4" x14ac:dyDescent="0.2">
      <c r="A1445">
        <v>1440</v>
      </c>
      <c r="B1445" s="14">
        <f>'EstExp 12-20'!L269</f>
        <v>0</v>
      </c>
      <c r="C1445" s="5">
        <f t="shared" si="20"/>
        <v>1440</v>
      </c>
      <c r="D1445" s="6"/>
    </row>
    <row r="1446" spans="1:4" x14ac:dyDescent="0.2">
      <c r="A1446">
        <v>1441</v>
      </c>
      <c r="B1446" s="14">
        <f>'EstExp 12-20'!L270</f>
        <v>0</v>
      </c>
      <c r="C1446" s="5">
        <f t="shared" si="20"/>
        <v>1441</v>
      </c>
      <c r="D1446" s="6"/>
    </row>
    <row r="1447" spans="1:4" x14ac:dyDescent="0.2">
      <c r="A1447">
        <v>1442</v>
      </c>
      <c r="B1447" s="14">
        <f>'EstExp 12-20'!L271</f>
        <v>0</v>
      </c>
      <c r="C1447" s="5">
        <f t="shared" si="20"/>
        <v>1442</v>
      </c>
      <c r="D1447" s="6"/>
    </row>
    <row r="1448" spans="1:4" x14ac:dyDescent="0.2">
      <c r="A1448">
        <v>1443</v>
      </c>
      <c r="B1448" s="14">
        <f>'EstExp 12-20'!L272</f>
        <v>0</v>
      </c>
      <c r="C1448" s="5">
        <f t="shared" si="20"/>
        <v>1443</v>
      </c>
      <c r="D1448" s="6"/>
    </row>
    <row r="1449" spans="1:4" x14ac:dyDescent="0.2">
      <c r="A1449" s="3">
        <v>1444</v>
      </c>
      <c r="D1449" s="7"/>
    </row>
    <row r="1450" spans="1:4" x14ac:dyDescent="0.2">
      <c r="A1450">
        <v>1445</v>
      </c>
      <c r="B1450" s="14">
        <f>'EstExp 12-20'!L273</f>
        <v>0</v>
      </c>
      <c r="C1450" s="5">
        <f t="shared" si="20"/>
        <v>1445</v>
      </c>
      <c r="D1450" s="6"/>
    </row>
    <row r="1451" spans="1:4" x14ac:dyDescent="0.2">
      <c r="A1451" s="3">
        <v>1446</v>
      </c>
      <c r="D1451" s="7"/>
    </row>
    <row r="1452" spans="1:4" x14ac:dyDescent="0.2">
      <c r="A1452">
        <v>1447</v>
      </c>
      <c r="B1452" s="14">
        <f>'EstExp 12-20'!L274</f>
        <v>0</v>
      </c>
      <c r="C1452" s="5">
        <f t="shared" si="20"/>
        <v>1447</v>
      </c>
      <c r="D1452" s="6"/>
    </row>
    <row r="1453" spans="1:4" x14ac:dyDescent="0.2">
      <c r="A1453">
        <v>1448</v>
      </c>
      <c r="B1453" s="14">
        <f>'EstExp 12-20'!L275</f>
        <v>0</v>
      </c>
      <c r="C1453" s="5">
        <f t="shared" si="20"/>
        <v>1448</v>
      </c>
      <c r="D1453" s="6"/>
    </row>
    <row r="1454" spans="1:4" x14ac:dyDescent="0.2">
      <c r="A1454">
        <v>1449</v>
      </c>
      <c r="B1454" s="14">
        <f>'EstExp 12-20'!L276</f>
        <v>0</v>
      </c>
      <c r="C1454" s="5">
        <f t="shared" si="20"/>
        <v>1449</v>
      </c>
      <c r="D1454" s="6"/>
    </row>
    <row r="1455" spans="1:4" x14ac:dyDescent="0.2">
      <c r="A1455">
        <v>1450</v>
      </c>
      <c r="B1455" s="14">
        <f>'EstExp 12-20'!L277</f>
        <v>0</v>
      </c>
      <c r="C1455" s="5">
        <f t="shared" si="20"/>
        <v>1450</v>
      </c>
      <c r="D1455" s="6"/>
    </row>
    <row r="1456" spans="1:4" x14ac:dyDescent="0.2">
      <c r="A1456">
        <v>1451</v>
      </c>
      <c r="B1456" s="14">
        <f>'EstExp 12-20'!L285</f>
        <v>0</v>
      </c>
      <c r="C1456" s="5">
        <f t="shared" si="20"/>
        <v>1451</v>
      </c>
      <c r="D1456" s="6"/>
    </row>
    <row r="1457" spans="1:4" x14ac:dyDescent="0.2">
      <c r="A1457">
        <v>1452</v>
      </c>
      <c r="B1457" s="14">
        <f>'EstExp 12-20'!L286</f>
        <v>0</v>
      </c>
      <c r="C1457" s="5">
        <f t="shared" si="20"/>
        <v>1452</v>
      </c>
      <c r="D1457" s="6"/>
    </row>
    <row r="1458" spans="1:4" x14ac:dyDescent="0.2">
      <c r="A1458">
        <v>1453</v>
      </c>
      <c r="B1458" s="14">
        <f>'EstExp 12-20'!L289</f>
        <v>0</v>
      </c>
      <c r="C1458" s="5">
        <f t="shared" si="20"/>
        <v>1453</v>
      </c>
      <c r="D1458" s="6"/>
    </row>
    <row r="1459" spans="1:4" x14ac:dyDescent="0.2">
      <c r="A1459">
        <v>1454</v>
      </c>
      <c r="B1459" s="14">
        <f>'EstExp 12-20'!L290</f>
        <v>0</v>
      </c>
      <c r="C1459" s="5">
        <f t="shared" si="20"/>
        <v>1454</v>
      </c>
      <c r="D1459" s="6"/>
    </row>
    <row r="1460" spans="1:4" x14ac:dyDescent="0.2">
      <c r="A1460" s="3">
        <v>1455</v>
      </c>
      <c r="D1460" s="7"/>
    </row>
    <row r="1461" spans="1:4" x14ac:dyDescent="0.2">
      <c r="A1461" s="4">
        <v>1456</v>
      </c>
      <c r="B1461" s="14">
        <f>'EstExp 12-20'!L292</f>
        <v>3400000</v>
      </c>
      <c r="C1461" s="5">
        <f t="shared" si="20"/>
        <v>-3398544</v>
      </c>
      <c r="D1461" s="6"/>
    </row>
    <row r="1462" spans="1:4" x14ac:dyDescent="0.2">
      <c r="A1462">
        <v>1457</v>
      </c>
      <c r="B1462" s="14">
        <f>'EstExp 12-20'!L293</f>
        <v>0</v>
      </c>
      <c r="C1462" s="5">
        <f t="shared" si="20"/>
        <v>1457</v>
      </c>
      <c r="D1462" s="6"/>
    </row>
    <row r="1463" spans="1:4" x14ac:dyDescent="0.2">
      <c r="A1463">
        <v>1458</v>
      </c>
      <c r="B1463" s="14">
        <f>'EstExp 12-20'!D298</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12-20'!D299</f>
        <v>0</v>
      </c>
      <c r="C1466" s="5">
        <f t="shared" si="20"/>
        <v>1461</v>
      </c>
      <c r="D1466" s="6"/>
    </row>
    <row r="1467" spans="1:4" x14ac:dyDescent="0.2">
      <c r="A1467">
        <v>1462</v>
      </c>
      <c r="B1467" s="14">
        <f>'EstExp 12-20'!D300</f>
        <v>0</v>
      </c>
      <c r="C1467" s="5">
        <f t="shared" si="20"/>
        <v>1462</v>
      </c>
      <c r="D1467" s="6"/>
    </row>
    <row r="1468" spans="1:4" x14ac:dyDescent="0.2">
      <c r="A1468">
        <v>1463</v>
      </c>
      <c r="B1468" s="14">
        <f>'EstExp 12-20'!D309</f>
        <v>0</v>
      </c>
      <c r="C1468" s="5">
        <f t="shared" si="20"/>
        <v>1463</v>
      </c>
      <c r="D1468" s="6"/>
    </row>
    <row r="1469" spans="1:4" x14ac:dyDescent="0.2">
      <c r="A1469">
        <v>1464</v>
      </c>
      <c r="B1469" s="14">
        <f>'EstExp 12-20'!E298</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12-20'!E299</f>
        <v>0</v>
      </c>
      <c r="C1472" s="5">
        <f t="shared" si="20"/>
        <v>1467</v>
      </c>
      <c r="D1472" s="6"/>
    </row>
    <row r="1473" spans="1:4" x14ac:dyDescent="0.2">
      <c r="A1473">
        <v>1468</v>
      </c>
      <c r="B1473" s="14">
        <f>'EstExp 12-20'!E300</f>
        <v>0</v>
      </c>
      <c r="C1473" s="5">
        <f t="shared" si="20"/>
        <v>1468</v>
      </c>
      <c r="D1473" s="6"/>
    </row>
    <row r="1474" spans="1:4" x14ac:dyDescent="0.2">
      <c r="A1474">
        <v>1469</v>
      </c>
      <c r="B1474" s="14">
        <f>'EstExp 12-20'!E309</f>
        <v>0</v>
      </c>
      <c r="C1474" s="5">
        <f t="shared" si="20"/>
        <v>1469</v>
      </c>
      <c r="D1474" s="6"/>
    </row>
    <row r="1475" spans="1:4" x14ac:dyDescent="0.2">
      <c r="A1475">
        <v>1470</v>
      </c>
      <c r="B1475" s="14">
        <f>'EstExp 12-20'!F298</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12-20'!F299</f>
        <v>0</v>
      </c>
      <c r="C1478" s="5">
        <f t="shared" si="20"/>
        <v>1473</v>
      </c>
      <c r="D1478" s="6"/>
    </row>
    <row r="1479" spans="1:4" x14ac:dyDescent="0.2">
      <c r="A1479">
        <v>1474</v>
      </c>
      <c r="B1479" s="14">
        <f>'EstExp 12-20'!F300</f>
        <v>0</v>
      </c>
      <c r="C1479" s="5">
        <f t="shared" si="20"/>
        <v>1474</v>
      </c>
      <c r="D1479" s="6"/>
    </row>
    <row r="1480" spans="1:4" x14ac:dyDescent="0.2">
      <c r="A1480">
        <v>1475</v>
      </c>
      <c r="B1480" s="14">
        <f>'EstExp 12-20'!F309</f>
        <v>0</v>
      </c>
      <c r="C1480" s="5">
        <f t="shared" ref="C1480:C1505" si="21">A1480-B1480</f>
        <v>1475</v>
      </c>
      <c r="D1480" s="6"/>
    </row>
    <row r="1481" spans="1:4" x14ac:dyDescent="0.2">
      <c r="A1481">
        <v>1476</v>
      </c>
      <c r="B1481" s="14">
        <f>'EstExp 12-20'!G298</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12-20'!G299</f>
        <v>0</v>
      </c>
      <c r="C1484" s="5">
        <f t="shared" si="21"/>
        <v>1479</v>
      </c>
      <c r="D1484" s="6"/>
    </row>
    <row r="1485" spans="1:4" x14ac:dyDescent="0.2">
      <c r="A1485">
        <v>1480</v>
      </c>
      <c r="B1485" s="14">
        <f>'EstExp 12-20'!G300</f>
        <v>0</v>
      </c>
      <c r="C1485" s="5">
        <f t="shared" si="21"/>
        <v>1480</v>
      </c>
      <c r="D1485" s="6"/>
    </row>
    <row r="1486" spans="1:4" x14ac:dyDescent="0.2">
      <c r="A1486">
        <v>1481</v>
      </c>
      <c r="B1486" s="14">
        <f>'EstExp 12-20'!G309</f>
        <v>0</v>
      </c>
      <c r="C1486" s="5">
        <f t="shared" si="21"/>
        <v>1481</v>
      </c>
      <c r="D1486" s="6"/>
    </row>
    <row r="1487" spans="1:4" x14ac:dyDescent="0.2">
      <c r="A1487">
        <v>1482</v>
      </c>
      <c r="B1487" s="14">
        <f>'EstExp 12-20'!H298</f>
        <v>3880000</v>
      </c>
      <c r="C1487" s="5">
        <f t="shared" si="21"/>
        <v>-3878518</v>
      </c>
      <c r="D1487" s="6"/>
    </row>
    <row r="1488" spans="1:4" x14ac:dyDescent="0.2">
      <c r="A1488" s="3">
        <v>1483</v>
      </c>
      <c r="D1488" s="7"/>
    </row>
    <row r="1489" spans="1:4" x14ac:dyDescent="0.2">
      <c r="A1489" s="3">
        <v>1484</v>
      </c>
      <c r="D1489" s="7"/>
    </row>
    <row r="1490" spans="1:4" x14ac:dyDescent="0.2">
      <c r="A1490">
        <v>1485</v>
      </c>
      <c r="B1490" s="14">
        <f>'EstExp 12-20'!H299</f>
        <v>0</v>
      </c>
      <c r="C1490" s="5">
        <f t="shared" si="21"/>
        <v>1485</v>
      </c>
      <c r="D1490" s="6"/>
    </row>
    <row r="1491" spans="1:4" x14ac:dyDescent="0.2">
      <c r="A1491">
        <v>1486</v>
      </c>
      <c r="B1491" s="14">
        <f>'EstExp 12-20'!H300</f>
        <v>3880000</v>
      </c>
      <c r="C1491" s="5">
        <f t="shared" si="21"/>
        <v>-3878514</v>
      </c>
      <c r="D1491" s="6"/>
    </row>
    <row r="1492" spans="1:4" x14ac:dyDescent="0.2">
      <c r="A1492">
        <v>1487</v>
      </c>
      <c r="B1492" s="14">
        <f>'EstExp 12-20'!H309</f>
        <v>3880000</v>
      </c>
      <c r="C1492" s="5">
        <f t="shared" si="21"/>
        <v>-3878513</v>
      </c>
      <c r="D1492" s="6"/>
    </row>
    <row r="1493" spans="1:4" x14ac:dyDescent="0.2">
      <c r="A1493">
        <v>1488</v>
      </c>
      <c r="B1493" s="14">
        <f>'EstExp 12-20'!I298</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12-20'!I299</f>
        <v>0</v>
      </c>
      <c r="C1496" s="5">
        <f t="shared" si="21"/>
        <v>1491</v>
      </c>
      <c r="D1496" s="6"/>
    </row>
    <row r="1497" spans="1:4" x14ac:dyDescent="0.2">
      <c r="A1497">
        <v>1492</v>
      </c>
      <c r="B1497" s="14">
        <f>'EstExp 12-20'!I300</f>
        <v>0</v>
      </c>
      <c r="C1497" s="5">
        <f t="shared" si="21"/>
        <v>1492</v>
      </c>
      <c r="D1497" s="6"/>
    </row>
    <row r="1498" spans="1:4" x14ac:dyDescent="0.2">
      <c r="A1498">
        <v>1493</v>
      </c>
      <c r="B1498" s="14">
        <f>'EstExp 12-20'!I309</f>
        <v>0</v>
      </c>
      <c r="C1498" s="5">
        <f t="shared" si="21"/>
        <v>1493</v>
      </c>
      <c r="D1498" s="6"/>
    </row>
    <row r="1499" spans="1:4" x14ac:dyDescent="0.2">
      <c r="A1499">
        <v>1494</v>
      </c>
      <c r="B1499" s="14">
        <f>'EstExp 12-20'!L298</f>
        <v>3880000</v>
      </c>
      <c r="C1499" s="5">
        <f t="shared" si="21"/>
        <v>-3878506</v>
      </c>
      <c r="D1499" s="6"/>
    </row>
    <row r="1500" spans="1:4" x14ac:dyDescent="0.2">
      <c r="A1500" s="3">
        <v>1495</v>
      </c>
      <c r="D1500" s="7"/>
    </row>
    <row r="1501" spans="1:4" x14ac:dyDescent="0.2">
      <c r="A1501" s="3">
        <v>1496</v>
      </c>
      <c r="D1501" s="7"/>
    </row>
    <row r="1502" spans="1:4" x14ac:dyDescent="0.2">
      <c r="A1502">
        <v>1497</v>
      </c>
      <c r="B1502" s="14">
        <f>'EstExp 12-20'!L299</f>
        <v>0</v>
      </c>
      <c r="C1502" s="5">
        <f t="shared" si="21"/>
        <v>1497</v>
      </c>
      <c r="D1502" s="6"/>
    </row>
    <row r="1503" spans="1:4" x14ac:dyDescent="0.2">
      <c r="A1503">
        <v>1498</v>
      </c>
      <c r="B1503" s="14">
        <f>'EstExp 12-20'!L300</f>
        <v>3880000</v>
      </c>
      <c r="C1503" s="5">
        <f t="shared" si="21"/>
        <v>-3878502</v>
      </c>
      <c r="D1503" s="6"/>
    </row>
    <row r="1504" spans="1:4" x14ac:dyDescent="0.2">
      <c r="A1504">
        <v>1499</v>
      </c>
      <c r="B1504" s="14">
        <f>'EstExp 12-20'!L309</f>
        <v>3880000</v>
      </c>
      <c r="C1504" s="5">
        <f t="shared" si="21"/>
        <v>-3878501</v>
      </c>
      <c r="D1504" s="6"/>
    </row>
    <row r="1505" spans="1:4" x14ac:dyDescent="0.2">
      <c r="A1505">
        <v>1500</v>
      </c>
      <c r="B1505" s="14">
        <f>'EstExp 12-20'!L310</f>
        <v>-1100000</v>
      </c>
      <c r="C1505" s="5">
        <f t="shared" si="21"/>
        <v>1101500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299</v>
      </c>
    </row>
    <row r="1513" spans="1:4" x14ac:dyDescent="0.2">
      <c r="A1513" s="3">
        <v>1508</v>
      </c>
      <c r="D1513" s="6" t="s">
        <v>299</v>
      </c>
    </row>
    <row r="1514" spans="1:4" x14ac:dyDescent="0.2">
      <c r="A1514" s="3">
        <v>1509</v>
      </c>
      <c r="D1514" s="6" t="s">
        <v>299</v>
      </c>
    </row>
    <row r="1515" spans="1:4" x14ac:dyDescent="0.2">
      <c r="A1515" s="3">
        <v>1510</v>
      </c>
      <c r="D1515" s="6" t="s">
        <v>299</v>
      </c>
    </row>
    <row r="1516" spans="1:4" x14ac:dyDescent="0.2">
      <c r="A1516" s="3">
        <v>1511</v>
      </c>
      <c r="D1516" s="6" t="s">
        <v>299</v>
      </c>
    </row>
    <row r="1517" spans="1:4" x14ac:dyDescent="0.2">
      <c r="A1517" s="3">
        <v>1512</v>
      </c>
      <c r="D1517" s="6" t="s">
        <v>299</v>
      </c>
    </row>
    <row r="1518" spans="1:4" x14ac:dyDescent="0.2">
      <c r="A1518" s="3">
        <v>1513</v>
      </c>
      <c r="D1518" s="6" t="s">
        <v>299</v>
      </c>
    </row>
    <row r="1519" spans="1:4" x14ac:dyDescent="0.2">
      <c r="A1519" s="3">
        <v>1514</v>
      </c>
      <c r="D1519" s="6" t="s">
        <v>299</v>
      </c>
    </row>
    <row r="1520" spans="1:4" x14ac:dyDescent="0.2">
      <c r="A1520" s="3">
        <v>1515</v>
      </c>
      <c r="D1520" s="6" t="s">
        <v>299</v>
      </c>
    </row>
    <row r="1521" spans="1:4" x14ac:dyDescent="0.2">
      <c r="A1521" s="3">
        <v>1516</v>
      </c>
      <c r="D1521" s="6" t="s">
        <v>299</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23388590</v>
      </c>
      <c r="C1561" s="5">
        <f t="shared" ref="C1561:C1603" si="22">A1561-B1561</f>
        <v>-23387034</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21888590</v>
      </c>
      <c r="C1574" s="5">
        <f t="shared" si="22"/>
        <v>-21887021</v>
      </c>
      <c r="D1574" s="6"/>
    </row>
    <row r="1575" spans="1:4" x14ac:dyDescent="0.2">
      <c r="A1575">
        <v>1570</v>
      </c>
      <c r="B1575" s="14">
        <f>'BudgetSum 2-4'!D3</f>
        <v>2879273</v>
      </c>
      <c r="C1575" s="5">
        <f t="shared" si="22"/>
        <v>-2877703</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2879273</v>
      </c>
      <c r="C1588" s="5">
        <f t="shared" si="22"/>
        <v>-2877690</v>
      </c>
      <c r="D1588" s="6"/>
    </row>
    <row r="1589" spans="1:4" x14ac:dyDescent="0.2">
      <c r="A1589">
        <v>1584</v>
      </c>
      <c r="B1589" s="14">
        <f>'BudgetSum 2-4'!E3</f>
        <v>775333</v>
      </c>
      <c r="C1589" s="5">
        <f t="shared" si="22"/>
        <v>-773749</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1375333</v>
      </c>
      <c r="C1602" s="5">
        <f t="shared" si="22"/>
        <v>-1373736</v>
      </c>
      <c r="D1602" s="6"/>
    </row>
    <row r="1603" spans="1:4" x14ac:dyDescent="0.2">
      <c r="A1603">
        <v>1598</v>
      </c>
      <c r="B1603" s="14">
        <f>'BudgetSum 2-4'!F3</f>
        <v>2579010</v>
      </c>
      <c r="C1603" s="5">
        <f t="shared" si="22"/>
        <v>-2577412</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2579010</v>
      </c>
      <c r="C1616" s="5">
        <f t="shared" ref="C1616:C1644" si="23">A1616-B1616</f>
        <v>-2577399</v>
      </c>
      <c r="D1616" s="6"/>
    </row>
    <row r="1617" spans="1:4" x14ac:dyDescent="0.2">
      <c r="A1617">
        <v>1612</v>
      </c>
      <c r="B1617" s="14">
        <f>'BudgetSum 2-4'!G3</f>
        <v>457822</v>
      </c>
      <c r="C1617" s="5">
        <f t="shared" si="23"/>
        <v>-456210</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457822</v>
      </c>
      <c r="C1630" s="5">
        <f t="shared" si="23"/>
        <v>-456197</v>
      </c>
      <c r="D1630" s="6"/>
    </row>
    <row r="1631" spans="1:4" x14ac:dyDescent="0.2">
      <c r="A1631">
        <v>1626</v>
      </c>
      <c r="B1631" s="14">
        <f>'BudgetSum 2-4'!H3</f>
        <v>2394667</v>
      </c>
      <c r="C1631" s="5">
        <f t="shared" si="23"/>
        <v>-2393041</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2194667</v>
      </c>
      <c r="C1644" s="5">
        <f t="shared" si="23"/>
        <v>-2193028</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299</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299</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299</v>
      </c>
    </row>
    <row r="2022" spans="1:4" x14ac:dyDescent="0.2">
      <c r="A2022" s="3">
        <v>2017</v>
      </c>
      <c r="D2022" s="6" t="s">
        <v>299</v>
      </c>
    </row>
    <row r="2023" spans="1:4" x14ac:dyDescent="0.2">
      <c r="A2023" s="3">
        <v>2018</v>
      </c>
      <c r="D2023" s="7"/>
    </row>
    <row r="2024" spans="1:4" x14ac:dyDescent="0.2">
      <c r="A2024" s="3">
        <v>2019</v>
      </c>
      <c r="D2024" s="7"/>
    </row>
    <row r="2025" spans="1:4" x14ac:dyDescent="0.2">
      <c r="A2025">
        <v>2020</v>
      </c>
      <c r="B2025" s="14">
        <f>'EstExp 12-20'!I86</f>
        <v>1202000</v>
      </c>
      <c r="C2025" s="5">
        <f t="shared" ref="C2025:C2050" si="24">A2025-B2025</f>
        <v>-1199980</v>
      </c>
      <c r="D2025" s="6"/>
    </row>
    <row r="2026" spans="1:4" x14ac:dyDescent="0.2">
      <c r="A2026" s="3">
        <v>2021</v>
      </c>
      <c r="D2026" s="6" t="s">
        <v>299</v>
      </c>
    </row>
    <row r="2027" spans="1:4" x14ac:dyDescent="0.2">
      <c r="A2027" s="3">
        <v>2022</v>
      </c>
      <c r="D2027" s="6" t="s">
        <v>299</v>
      </c>
    </row>
    <row r="2028" spans="1:4" x14ac:dyDescent="0.2">
      <c r="A2028" s="3">
        <v>2023</v>
      </c>
      <c r="D2028" s="6" t="s">
        <v>299</v>
      </c>
    </row>
    <row r="2029" spans="1:4" x14ac:dyDescent="0.2">
      <c r="A2029" s="3">
        <v>2024</v>
      </c>
      <c r="D2029" s="6" t="s">
        <v>299</v>
      </c>
    </row>
    <row r="2030" spans="1:4" x14ac:dyDescent="0.2">
      <c r="A2030" s="3">
        <v>2025</v>
      </c>
      <c r="D2030" s="6" t="s">
        <v>299</v>
      </c>
    </row>
    <row r="2031" spans="1:4" x14ac:dyDescent="0.2">
      <c r="A2031" s="4">
        <v>2026</v>
      </c>
      <c r="B2031" s="15">
        <f>'EstExp 12-20'!L103</f>
        <v>0</v>
      </c>
      <c r="C2031" s="5">
        <f t="shared" si="24"/>
        <v>2026</v>
      </c>
      <c r="D2031" s="6" t="s">
        <v>746</v>
      </c>
    </row>
    <row r="2032" spans="1:4" x14ac:dyDescent="0.2">
      <c r="A2032">
        <v>2027</v>
      </c>
      <c r="B2032" s="14">
        <f>'EstExp 12-20'!L86</f>
        <v>1202000</v>
      </c>
      <c r="C2032" s="5">
        <f t="shared" si="24"/>
        <v>-1199973</v>
      </c>
      <c r="D2032" s="6"/>
    </row>
    <row r="2033" spans="1:4" x14ac:dyDescent="0.2">
      <c r="A2033">
        <v>2028</v>
      </c>
      <c r="B2033" s="14">
        <f>'EstExp 12-20'!L94</f>
        <v>0</v>
      </c>
      <c r="C2033" s="5">
        <f t="shared" si="24"/>
        <v>2028</v>
      </c>
      <c r="D2033" s="6"/>
    </row>
    <row r="2034" spans="1:4" x14ac:dyDescent="0.2">
      <c r="A2034" s="4">
        <v>2029</v>
      </c>
      <c r="B2034" s="15">
        <f>'EstExp 12-20'!L102</f>
        <v>0</v>
      </c>
      <c r="C2034" s="5">
        <f t="shared" si="24"/>
        <v>2029</v>
      </c>
      <c r="D2034" s="18" t="s">
        <v>746</v>
      </c>
    </row>
    <row r="2035" spans="1:4" x14ac:dyDescent="0.2">
      <c r="A2035">
        <v>2030</v>
      </c>
      <c r="B2035" s="14">
        <f>'EstExp 12-20'!I141</f>
        <v>0</v>
      </c>
      <c r="C2035" s="5">
        <f t="shared" si="24"/>
        <v>2030</v>
      </c>
      <c r="D2035" s="6"/>
    </row>
    <row r="2036" spans="1:4" x14ac:dyDescent="0.2">
      <c r="A2036">
        <v>2031</v>
      </c>
      <c r="B2036" s="14">
        <f>'EstExp 12-20'!I142</f>
        <v>0</v>
      </c>
      <c r="C2036" s="5">
        <f t="shared" si="24"/>
        <v>2031</v>
      </c>
      <c r="D2036" s="6"/>
    </row>
    <row r="2037" spans="1:4" x14ac:dyDescent="0.2">
      <c r="A2037">
        <v>2032</v>
      </c>
      <c r="B2037" s="14">
        <f>'EstExp 12-20'!L141</f>
        <v>0</v>
      </c>
      <c r="C2037" s="5">
        <f t="shared" si="24"/>
        <v>2032</v>
      </c>
      <c r="D2037" s="6"/>
    </row>
    <row r="2038" spans="1:4" x14ac:dyDescent="0.2">
      <c r="A2038">
        <v>2033</v>
      </c>
      <c r="B2038" s="14">
        <f>'EstExp 12-20'!L142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299</v>
      </c>
    </row>
    <row r="2043" spans="1:4" x14ac:dyDescent="0.2">
      <c r="A2043" s="3">
        <v>2038</v>
      </c>
      <c r="D2043" s="6" t="s">
        <v>299</v>
      </c>
    </row>
    <row r="2044" spans="1:4" x14ac:dyDescent="0.2">
      <c r="A2044" s="3">
        <v>2039</v>
      </c>
      <c r="D2044" s="7"/>
    </row>
    <row r="2045" spans="1:4" x14ac:dyDescent="0.2">
      <c r="A2045" s="3">
        <v>2040</v>
      </c>
      <c r="D2045" s="6" t="s">
        <v>299</v>
      </c>
    </row>
    <row r="2046" spans="1:4" x14ac:dyDescent="0.2">
      <c r="A2046">
        <v>2041</v>
      </c>
      <c r="B2046" s="14">
        <f>'EstExp 12-20'!L307</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299</v>
      </c>
    </row>
    <row r="2053" spans="1:4" x14ac:dyDescent="0.2">
      <c r="A2053" s="3">
        <v>2048</v>
      </c>
      <c r="D2053" s="6" t="s">
        <v>299</v>
      </c>
    </row>
    <row r="2054" spans="1:4" x14ac:dyDescent="0.2">
      <c r="A2054" s="3">
        <v>2049</v>
      </c>
      <c r="D2054" s="6" t="s">
        <v>299</v>
      </c>
    </row>
    <row r="2055" spans="1:4" x14ac:dyDescent="0.2">
      <c r="A2055" s="3">
        <v>2050</v>
      </c>
      <c r="D2055" s="6" t="s">
        <v>299</v>
      </c>
    </row>
    <row r="2056" spans="1:4" x14ac:dyDescent="0.2">
      <c r="A2056" s="3">
        <v>2051</v>
      </c>
      <c r="D2056" s="6" t="s">
        <v>299</v>
      </c>
    </row>
    <row r="2057" spans="1:4" x14ac:dyDescent="0.2">
      <c r="A2057" s="3">
        <v>2052</v>
      </c>
      <c r="D2057" s="7"/>
    </row>
    <row r="2058" spans="1:4" x14ac:dyDescent="0.2">
      <c r="A2058" s="3">
        <v>2053</v>
      </c>
      <c r="D2058" s="6" t="s">
        <v>299</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299</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298</v>
      </c>
    </row>
    <row r="2379" spans="1:4" x14ac:dyDescent="0.2">
      <c r="A2379">
        <v>2374</v>
      </c>
      <c r="D2379" s="6"/>
    </row>
    <row r="2380" spans="1:4" x14ac:dyDescent="0.2">
      <c r="A2380" s="3">
        <v>2375</v>
      </c>
      <c r="D2380" s="6" t="s">
        <v>298</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298</v>
      </c>
    </row>
    <row r="2419" spans="1:4" x14ac:dyDescent="0.2">
      <c r="A2419">
        <v>2414</v>
      </c>
      <c r="D2419" s="6"/>
    </row>
    <row r="2420" spans="1:4" x14ac:dyDescent="0.2">
      <c r="A2420" s="3">
        <v>2415</v>
      </c>
      <c r="D2420" s="6" t="s">
        <v>298</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298</v>
      </c>
    </row>
    <row r="2448" spans="1:4" x14ac:dyDescent="0.2">
      <c r="A2448">
        <v>2443</v>
      </c>
      <c r="D2448" s="6"/>
    </row>
    <row r="2449" spans="1:4" x14ac:dyDescent="0.2">
      <c r="A2449" s="3">
        <v>2444</v>
      </c>
      <c r="D2449" s="6" t="s">
        <v>298</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71749500</v>
      </c>
      <c r="C2495" s="5">
        <f t="shared" ref="C2495:C2503" si="25">A2495-B2495</f>
        <v>-71747010</v>
      </c>
      <c r="D2495" s="6"/>
    </row>
    <row r="2496" spans="1:4" x14ac:dyDescent="0.2">
      <c r="A2496" s="3">
        <v>2491</v>
      </c>
      <c r="D2496" s="7"/>
    </row>
    <row r="2497" spans="1:4" x14ac:dyDescent="0.2">
      <c r="A2497">
        <v>2492</v>
      </c>
      <c r="B2497" s="14">
        <f>'BudgetSum 2-4'!C7</f>
        <v>3714500</v>
      </c>
      <c r="C2497" s="5">
        <f t="shared" si="25"/>
        <v>-3712008</v>
      </c>
      <c r="D2497" s="6"/>
    </row>
    <row r="2498" spans="1:4" x14ac:dyDescent="0.2">
      <c r="A2498">
        <v>2493</v>
      </c>
      <c r="B2498" s="14">
        <f>'BudgetSum 2-4'!C8</f>
        <v>3780000</v>
      </c>
      <c r="C2498" s="5">
        <f t="shared" si="25"/>
        <v>-3777507</v>
      </c>
      <c r="D2498" s="6"/>
    </row>
    <row r="2499" spans="1:4" x14ac:dyDescent="0.2">
      <c r="A2499">
        <v>2494</v>
      </c>
      <c r="B2499" s="14">
        <f>'BudgetSum 2-4'!C9</f>
        <v>79244000</v>
      </c>
      <c r="C2499" s="5">
        <f t="shared" si="25"/>
        <v>-79241506</v>
      </c>
      <c r="D2499" s="6"/>
    </row>
    <row r="2500" spans="1:4" x14ac:dyDescent="0.2">
      <c r="A2500">
        <v>2495</v>
      </c>
      <c r="B2500" s="14">
        <f>'BudgetSum 2-4'!C13</f>
        <v>52205850</v>
      </c>
      <c r="C2500" s="5">
        <f t="shared" si="25"/>
        <v>-52203355</v>
      </c>
      <c r="D2500" s="6"/>
    </row>
    <row r="2501" spans="1:4" x14ac:dyDescent="0.2">
      <c r="A2501">
        <v>2496</v>
      </c>
      <c r="B2501" s="14">
        <f>'BudgetSum 2-4'!C14</f>
        <v>25836150</v>
      </c>
      <c r="C2501" s="5">
        <f t="shared" si="25"/>
        <v>-25833654</v>
      </c>
      <c r="D2501" s="6"/>
    </row>
    <row r="2502" spans="1:4" x14ac:dyDescent="0.2">
      <c r="A2502">
        <v>2497</v>
      </c>
      <c r="B2502" s="14">
        <f>'BudgetSum 2-4'!C15</f>
        <v>0</v>
      </c>
      <c r="C2502" s="5">
        <f t="shared" si="25"/>
        <v>2497</v>
      </c>
      <c r="D2502" s="6"/>
    </row>
    <row r="2503" spans="1:4" x14ac:dyDescent="0.2">
      <c r="A2503">
        <v>2498</v>
      </c>
      <c r="B2503" s="14">
        <f>'BudgetSum 2-4'!C16</f>
        <v>1202000</v>
      </c>
      <c r="C2503" s="5">
        <f t="shared" si="25"/>
        <v>-1199502</v>
      </c>
      <c r="D2503" s="6"/>
    </row>
    <row r="2504" spans="1:4" x14ac:dyDescent="0.2">
      <c r="A2504">
        <v>2499</v>
      </c>
      <c r="B2504" s="14">
        <f>'BudgetSum 2-4'!C17</f>
        <v>0</v>
      </c>
      <c r="C2504" s="5">
        <f t="shared" ref="C2504:C2557" si="26">A2504-B2504</f>
        <v>2499</v>
      </c>
      <c r="D2504" s="6"/>
    </row>
    <row r="2505" spans="1:4" x14ac:dyDescent="0.2">
      <c r="A2505">
        <v>2500</v>
      </c>
      <c r="B2505" s="14">
        <f>'BudgetSum 2-4'!C19</f>
        <v>79244000</v>
      </c>
      <c r="C2505" s="5">
        <f t="shared" si="26"/>
        <v>-79241500</v>
      </c>
      <c r="D2505" s="6"/>
    </row>
    <row r="2506" spans="1:4" x14ac:dyDescent="0.2">
      <c r="A2506">
        <v>2501</v>
      </c>
      <c r="B2506" s="14">
        <f>'BudgetSum 2-4'!C22</f>
        <v>0</v>
      </c>
      <c r="C2506" s="5">
        <f t="shared" si="26"/>
        <v>2501</v>
      </c>
      <c r="D2506" s="6"/>
    </row>
    <row r="2507" spans="1:4" x14ac:dyDescent="0.2">
      <c r="A2507" s="3">
        <v>2502</v>
      </c>
      <c r="D2507" s="6"/>
    </row>
    <row r="2508" spans="1:4" x14ac:dyDescent="0.2">
      <c r="A2508">
        <v>2503</v>
      </c>
      <c r="B2508" s="14">
        <f>'BudgetSum 2-4'!D5</f>
        <v>8220000</v>
      </c>
      <c r="C2508" s="5">
        <f t="shared" si="26"/>
        <v>-8217497</v>
      </c>
      <c r="D2508" s="6"/>
    </row>
    <row r="2509" spans="1:4" x14ac:dyDescent="0.2">
      <c r="A2509" s="3">
        <v>2504</v>
      </c>
      <c r="D2509" s="7"/>
    </row>
    <row r="2510" spans="1:4" x14ac:dyDescent="0.2">
      <c r="A2510">
        <v>2505</v>
      </c>
      <c r="B2510" s="14">
        <f>'BudgetSum 2-4'!D7</f>
        <v>0</v>
      </c>
      <c r="C2510" s="5">
        <f t="shared" si="26"/>
        <v>2505</v>
      </c>
      <c r="D2510" s="6"/>
    </row>
    <row r="2511" spans="1:4" x14ac:dyDescent="0.2">
      <c r="A2511">
        <v>2506</v>
      </c>
      <c r="B2511" s="14">
        <f>'BudgetSum 2-4'!D8</f>
        <v>0</v>
      </c>
      <c r="C2511" s="5">
        <f t="shared" si="26"/>
        <v>2506</v>
      </c>
      <c r="D2511" s="6"/>
    </row>
    <row r="2512" spans="1:4" x14ac:dyDescent="0.2">
      <c r="A2512">
        <v>2507</v>
      </c>
      <c r="B2512" s="14">
        <f>'BudgetSum 2-4'!D9</f>
        <v>8220000</v>
      </c>
      <c r="C2512" s="5">
        <f t="shared" si="26"/>
        <v>-8217493</v>
      </c>
      <c r="D2512" s="6"/>
    </row>
    <row r="2513" spans="1:4" x14ac:dyDescent="0.2">
      <c r="A2513">
        <v>2508</v>
      </c>
      <c r="B2513" s="14">
        <f>'BudgetSum 2-4'!D14</f>
        <v>8170500</v>
      </c>
      <c r="C2513" s="5">
        <f t="shared" si="26"/>
        <v>-8167992</v>
      </c>
      <c r="D2513" s="6"/>
    </row>
    <row r="2514" spans="1:4" x14ac:dyDescent="0.2">
      <c r="A2514">
        <v>2509</v>
      </c>
      <c r="B2514" s="14">
        <f>'BudgetSum 2-4'!D15</f>
        <v>49500</v>
      </c>
      <c r="C2514" s="5">
        <f t="shared" si="26"/>
        <v>-46991</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8220000</v>
      </c>
      <c r="C2517" s="5">
        <f t="shared" si="26"/>
        <v>-8217488</v>
      </c>
      <c r="D2517" s="6"/>
    </row>
    <row r="2518" spans="1:4" x14ac:dyDescent="0.2">
      <c r="A2518">
        <v>2513</v>
      </c>
      <c r="B2518" s="14">
        <f>'BudgetSum 2-4'!D22</f>
        <v>0</v>
      </c>
      <c r="C2518" s="5">
        <f t="shared" si="26"/>
        <v>2513</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842000</v>
      </c>
      <c r="C2535" s="5">
        <f t="shared" si="26"/>
        <v>-839470</v>
      </c>
      <c r="D2535" s="6"/>
    </row>
    <row r="2536" spans="1:4" x14ac:dyDescent="0.2">
      <c r="A2536" s="3">
        <v>2531</v>
      </c>
      <c r="D2536" s="7"/>
    </row>
    <row r="2537" spans="1:4" x14ac:dyDescent="0.2">
      <c r="A2537">
        <v>2532</v>
      </c>
      <c r="B2537" s="14">
        <f>'BudgetSum 2-4'!F7</f>
        <v>408000</v>
      </c>
      <c r="C2537" s="5">
        <f t="shared" si="26"/>
        <v>-405468</v>
      </c>
      <c r="D2537" s="6"/>
    </row>
    <row r="2538" spans="1:4" x14ac:dyDescent="0.2">
      <c r="A2538">
        <v>2533</v>
      </c>
      <c r="B2538" s="14">
        <f>'BudgetSum 2-4'!F8</f>
        <v>0</v>
      </c>
      <c r="C2538" s="5">
        <f t="shared" si="26"/>
        <v>2533</v>
      </c>
      <c r="D2538" s="6"/>
    </row>
    <row r="2539" spans="1:4" x14ac:dyDescent="0.2">
      <c r="A2539">
        <v>2534</v>
      </c>
      <c r="B2539" s="14">
        <f>'BudgetSum 2-4'!F9</f>
        <v>1250000</v>
      </c>
      <c r="C2539" s="5">
        <f t="shared" si="26"/>
        <v>-1247466</v>
      </c>
      <c r="D2539" s="6"/>
    </row>
    <row r="2540" spans="1:4" x14ac:dyDescent="0.2">
      <c r="A2540">
        <v>2535</v>
      </c>
      <c r="B2540" s="14">
        <f>'BudgetSum 2-4'!F14</f>
        <v>1250000</v>
      </c>
      <c r="C2540" s="5">
        <f t="shared" si="26"/>
        <v>-1247465</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1250000</v>
      </c>
      <c r="C2544" s="5">
        <f t="shared" si="26"/>
        <v>-1247461</v>
      </c>
      <c r="D2544" s="6"/>
    </row>
    <row r="2545" spans="1:4" x14ac:dyDescent="0.2">
      <c r="A2545">
        <v>2540</v>
      </c>
      <c r="B2545" s="14">
        <f>'BudgetSum 2-4'!F22</f>
        <v>0</v>
      </c>
      <c r="C2545" s="5">
        <f t="shared" si="26"/>
        <v>2540</v>
      </c>
      <c r="D2545" s="6"/>
    </row>
    <row r="2546" spans="1:4" x14ac:dyDescent="0.2">
      <c r="A2546" s="3">
        <v>2541</v>
      </c>
      <c r="D2546" s="6"/>
    </row>
    <row r="2547" spans="1:4" x14ac:dyDescent="0.2">
      <c r="A2547">
        <v>2542</v>
      </c>
      <c r="B2547" s="14">
        <f>'BudgetSum 2-4'!G5</f>
        <v>3400000</v>
      </c>
      <c r="C2547" s="5">
        <f t="shared" si="26"/>
        <v>-3397458</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3400000</v>
      </c>
      <c r="C2550" s="5">
        <f t="shared" si="26"/>
        <v>-3397455</v>
      </c>
      <c r="D2550" s="6"/>
    </row>
    <row r="2551" spans="1:4" x14ac:dyDescent="0.2">
      <c r="A2551">
        <v>2546</v>
      </c>
      <c r="B2551" s="14">
        <f>'BudgetSum 2-4'!G13</f>
        <v>3400000</v>
      </c>
      <c r="C2551" s="5">
        <f t="shared" si="26"/>
        <v>-3397454</v>
      </c>
      <c r="D2551" s="6"/>
    </row>
    <row r="2552" spans="1:4" x14ac:dyDescent="0.2">
      <c r="A2552">
        <v>2547</v>
      </c>
      <c r="B2552" s="14">
        <f>'BudgetSum 2-4'!G14</f>
        <v>0</v>
      </c>
      <c r="C2552" s="5">
        <f t="shared" si="26"/>
        <v>2547</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3400000</v>
      </c>
      <c r="C2556" s="5">
        <f t="shared" si="26"/>
        <v>-3397449</v>
      </c>
      <c r="D2556" s="6"/>
    </row>
    <row r="2557" spans="1:4" x14ac:dyDescent="0.2">
      <c r="A2557">
        <v>2552</v>
      </c>
      <c r="B2557" s="14">
        <f>'BudgetSum 2-4'!G22</f>
        <v>0</v>
      </c>
      <c r="C2557" s="5">
        <f t="shared" si="26"/>
        <v>2552</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3619000</v>
      </c>
      <c r="C2574" s="5">
        <f t="shared" ref="C2574:C2606" si="27">A2574-B2574</f>
        <v>-3616431</v>
      </c>
      <c r="D2574" s="6"/>
    </row>
    <row r="2575" spans="1:4" x14ac:dyDescent="0.2">
      <c r="A2575">
        <v>2570</v>
      </c>
      <c r="B2575" s="14">
        <f>'BudgetSum 2-4'!E7</f>
        <v>0</v>
      </c>
      <c r="C2575" s="5">
        <f t="shared" si="27"/>
        <v>2570</v>
      </c>
      <c r="D2575" s="6"/>
    </row>
    <row r="2576" spans="1:4" x14ac:dyDescent="0.2">
      <c r="A2576">
        <v>2571</v>
      </c>
      <c r="B2576" s="14">
        <f>'BudgetSum 2-4'!E9</f>
        <v>3619000</v>
      </c>
      <c r="C2576" s="5">
        <f t="shared" si="27"/>
        <v>-3616429</v>
      </c>
      <c r="D2576" s="6"/>
    </row>
    <row r="2577" spans="1:4" x14ac:dyDescent="0.2">
      <c r="A2577">
        <v>2572</v>
      </c>
      <c r="B2577" s="14">
        <f>'BudgetSum 2-4'!E16</f>
        <v>0</v>
      </c>
      <c r="C2577" s="5">
        <f t="shared" si="27"/>
        <v>2572</v>
      </c>
      <c r="D2577" s="6"/>
    </row>
    <row r="2578" spans="1:4" x14ac:dyDescent="0.2">
      <c r="A2578">
        <v>2573</v>
      </c>
      <c r="B2578" s="14">
        <f>'BudgetSum 2-4'!E17</f>
        <v>3619000</v>
      </c>
      <c r="C2578" s="5">
        <f t="shared" si="27"/>
        <v>-3616427</v>
      </c>
      <c r="D2578" s="6"/>
    </row>
    <row r="2579" spans="1:4" x14ac:dyDescent="0.2">
      <c r="A2579">
        <v>2574</v>
      </c>
      <c r="B2579" s="14">
        <f>'BudgetSum 2-4'!E19</f>
        <v>3619000</v>
      </c>
      <c r="C2579" s="5">
        <f t="shared" si="27"/>
        <v>-3616426</v>
      </c>
      <c r="D2579" s="6"/>
    </row>
    <row r="2580" spans="1:4" x14ac:dyDescent="0.2">
      <c r="A2580">
        <v>2575</v>
      </c>
      <c r="B2580" s="14">
        <f>'BudgetSum 2-4'!E22</f>
        <v>0</v>
      </c>
      <c r="C2580" s="5">
        <f t="shared" si="27"/>
        <v>2575</v>
      </c>
      <c r="D2580" s="6"/>
    </row>
    <row r="2581" spans="1:4" x14ac:dyDescent="0.2">
      <c r="A2581" s="3">
        <v>2576</v>
      </c>
      <c r="D2581" s="6"/>
    </row>
    <row r="2582" spans="1:4" x14ac:dyDescent="0.2">
      <c r="A2582" s="3">
        <v>2577</v>
      </c>
      <c r="D2582" s="6" t="s">
        <v>299</v>
      </c>
    </row>
    <row r="2583" spans="1:4" x14ac:dyDescent="0.2">
      <c r="A2583" s="3">
        <v>2578</v>
      </c>
      <c r="D2583" s="6" t="s">
        <v>299</v>
      </c>
    </row>
    <row r="2584" spans="1:4" x14ac:dyDescent="0.2">
      <c r="A2584" s="3">
        <v>2579</v>
      </c>
      <c r="D2584" s="6" t="s">
        <v>299</v>
      </c>
    </row>
    <row r="2585" spans="1:4" x14ac:dyDescent="0.2">
      <c r="A2585" s="3">
        <v>2580</v>
      </c>
      <c r="D2585" s="6" t="s">
        <v>299</v>
      </c>
    </row>
    <row r="2586" spans="1:4" x14ac:dyDescent="0.2">
      <c r="A2586" s="3">
        <v>2581</v>
      </c>
      <c r="D2586" s="6" t="s">
        <v>299</v>
      </c>
    </row>
    <row r="2587" spans="1:4" x14ac:dyDescent="0.2">
      <c r="A2587" s="3">
        <v>2582</v>
      </c>
      <c r="D2587" s="6" t="s">
        <v>299</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1400000</v>
      </c>
      <c r="C2599" s="5">
        <f t="shared" si="27"/>
        <v>-1397406</v>
      </c>
      <c r="D2599" s="6"/>
    </row>
    <row r="2600" spans="1:4" x14ac:dyDescent="0.2">
      <c r="A2600">
        <v>2595</v>
      </c>
      <c r="B2600" s="14">
        <f>'BudgetSum 2-4'!H7</f>
        <v>0</v>
      </c>
      <c r="C2600" s="5">
        <f t="shared" si="27"/>
        <v>2595</v>
      </c>
      <c r="D2600" s="6"/>
    </row>
    <row r="2601" spans="1:4" x14ac:dyDescent="0.2">
      <c r="A2601">
        <v>2596</v>
      </c>
      <c r="B2601" s="14">
        <f>'BudgetSum 2-4'!H8</f>
        <v>1380000</v>
      </c>
      <c r="C2601" s="5">
        <f t="shared" si="27"/>
        <v>-1377404</v>
      </c>
      <c r="D2601" s="6"/>
    </row>
    <row r="2602" spans="1:4" x14ac:dyDescent="0.2">
      <c r="A2602">
        <v>2597</v>
      </c>
      <c r="B2602" s="14">
        <f>'BudgetSum 2-4'!H9</f>
        <v>2780000</v>
      </c>
      <c r="C2602" s="5">
        <f t="shared" si="27"/>
        <v>-2777403</v>
      </c>
      <c r="D2602" s="6"/>
    </row>
    <row r="2603" spans="1:4" x14ac:dyDescent="0.2">
      <c r="A2603">
        <v>2598</v>
      </c>
      <c r="B2603" s="14">
        <f>'BudgetSum 2-4'!H14</f>
        <v>3880000</v>
      </c>
      <c r="C2603" s="5">
        <f t="shared" si="27"/>
        <v>-3877402</v>
      </c>
      <c r="D2603" s="6"/>
    </row>
    <row r="2604" spans="1:4" x14ac:dyDescent="0.2">
      <c r="A2604">
        <v>2599</v>
      </c>
      <c r="B2604" s="14">
        <f>'BudgetSum 2-4'!H16</f>
        <v>0</v>
      </c>
      <c r="C2604" s="5">
        <f t="shared" si="27"/>
        <v>2599</v>
      </c>
      <c r="D2604" s="6"/>
    </row>
    <row r="2605" spans="1:4" x14ac:dyDescent="0.2">
      <c r="A2605">
        <v>2600</v>
      </c>
      <c r="B2605" s="14">
        <f>'BudgetSum 2-4'!H19</f>
        <v>3880000</v>
      </c>
      <c r="C2605" s="5">
        <f t="shared" si="27"/>
        <v>-3877400</v>
      </c>
      <c r="D2605" s="6"/>
    </row>
    <row r="2606" spans="1:4" x14ac:dyDescent="0.2">
      <c r="A2606">
        <v>2601</v>
      </c>
      <c r="B2606" s="14">
        <f>'BudgetSum 2-4'!H22</f>
        <v>-1100000</v>
      </c>
      <c r="C2606" s="5">
        <f t="shared" si="27"/>
        <v>1102601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12-20'!D53</f>
        <v>225000</v>
      </c>
      <c r="C2662" s="5">
        <f t="shared" ref="C2662:C2670" si="28">A2662-B2662</f>
        <v>-222343</v>
      </c>
      <c r="D2662" s="6"/>
    </row>
    <row r="2663" spans="1:4" x14ac:dyDescent="0.2">
      <c r="A2663">
        <v>2658</v>
      </c>
      <c r="B2663" s="14">
        <f>'EstExp 12-20'!E53</f>
        <v>31100</v>
      </c>
      <c r="C2663" s="5">
        <f t="shared" si="28"/>
        <v>-28442</v>
      </c>
      <c r="D2663" s="6"/>
    </row>
    <row r="2664" spans="1:4" x14ac:dyDescent="0.2">
      <c r="A2664">
        <v>2659</v>
      </c>
      <c r="B2664" s="14">
        <f>'EstExp 12-20'!F53</f>
        <v>3000</v>
      </c>
      <c r="C2664" s="5">
        <f t="shared" si="28"/>
        <v>-341</v>
      </c>
      <c r="D2664" s="6"/>
    </row>
    <row r="2665" spans="1:4" x14ac:dyDescent="0.2">
      <c r="A2665">
        <v>2660</v>
      </c>
      <c r="B2665" s="14">
        <f>'EstExp 12-20'!G53</f>
        <v>3000</v>
      </c>
      <c r="C2665" s="5">
        <f t="shared" si="28"/>
        <v>-340</v>
      </c>
      <c r="D2665" s="6"/>
    </row>
    <row r="2666" spans="1:4" x14ac:dyDescent="0.2">
      <c r="A2666">
        <v>2661</v>
      </c>
      <c r="B2666" s="14">
        <f>'EstExp 12-20'!H53</f>
        <v>0</v>
      </c>
      <c r="C2666" s="5">
        <f t="shared" si="28"/>
        <v>2661</v>
      </c>
      <c r="D2666" s="6"/>
    </row>
    <row r="2667" spans="1:4" x14ac:dyDescent="0.2">
      <c r="A2667">
        <v>2662</v>
      </c>
      <c r="B2667" s="14">
        <f>'EstExp 12-20'!I53</f>
        <v>0</v>
      </c>
      <c r="C2667" s="5">
        <f t="shared" si="28"/>
        <v>2662</v>
      </c>
      <c r="D2667" s="6"/>
    </row>
    <row r="2668" spans="1:4" x14ac:dyDescent="0.2">
      <c r="A2668">
        <v>2663</v>
      </c>
      <c r="B2668" s="14">
        <f>'EstExp 12-20'!L53</f>
        <v>262100</v>
      </c>
      <c r="C2668" s="5">
        <f t="shared" si="28"/>
        <v>-259437</v>
      </c>
      <c r="D2668" s="6"/>
    </row>
    <row r="2669" spans="1:4" x14ac:dyDescent="0.2">
      <c r="A2669">
        <v>2664</v>
      </c>
      <c r="B2669" s="14">
        <f>'EstExp 12-20'!E251</f>
        <v>0</v>
      </c>
      <c r="C2669" s="5">
        <f t="shared" si="28"/>
        <v>2664</v>
      </c>
      <c r="D2669" s="6"/>
    </row>
    <row r="2670" spans="1:4" x14ac:dyDescent="0.2">
      <c r="A2670">
        <v>2665</v>
      </c>
      <c r="B2670" s="14">
        <f>'EstExp 12-20'!L251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-1500000</v>
      </c>
      <c r="C2701" s="5">
        <f t="shared" ref="C2701:C2757" si="29">A2701-B2701</f>
        <v>1502696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600000</v>
      </c>
      <c r="C2704" s="5">
        <f t="shared" si="29"/>
        <v>-597301</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900000</v>
      </c>
      <c r="C2713" s="5">
        <f t="shared" si="29"/>
        <v>-897292</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299</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12-20'!F86</f>
        <v>0</v>
      </c>
      <c r="C2733" s="5">
        <f t="shared" si="29"/>
        <v>2728</v>
      </c>
      <c r="D2733" s="6"/>
    </row>
    <row r="2734" spans="1:4" x14ac:dyDescent="0.2">
      <c r="A2734">
        <v>2729</v>
      </c>
      <c r="B2734" s="14">
        <f>'EstExp 12-20'!F104</f>
        <v>0</v>
      </c>
      <c r="C2734" s="5">
        <f t="shared" si="29"/>
        <v>2729</v>
      </c>
      <c r="D2734" s="6"/>
    </row>
    <row r="2735" spans="1:4" x14ac:dyDescent="0.2">
      <c r="A2735">
        <v>2730</v>
      </c>
      <c r="B2735" s="14">
        <f>'EstExp 12-20'!I109</f>
        <v>0</v>
      </c>
      <c r="C2735" s="5">
        <f t="shared" si="29"/>
        <v>2730</v>
      </c>
      <c r="D2735" s="6"/>
    </row>
    <row r="2736" spans="1:4" x14ac:dyDescent="0.2">
      <c r="A2736">
        <v>2731</v>
      </c>
      <c r="B2736" s="14">
        <f>'EstExp 12-20'!I110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12-20'!L109</f>
        <v>0</v>
      </c>
      <c r="C2739" s="5">
        <f t="shared" si="29"/>
        <v>2734</v>
      </c>
      <c r="D2739" s="6"/>
    </row>
    <row r="2740" spans="1:4" x14ac:dyDescent="0.2">
      <c r="A2740">
        <v>2735</v>
      </c>
      <c r="B2740" s="14">
        <f>'EstExp 12-20'!L110</f>
        <v>0</v>
      </c>
      <c r="C2740" s="5">
        <f t="shared" si="29"/>
        <v>2735</v>
      </c>
      <c r="D2740" s="6"/>
    </row>
    <row r="2741" spans="1:4" x14ac:dyDescent="0.2">
      <c r="A2741">
        <v>2736</v>
      </c>
      <c r="B2741" s="14">
        <f>'EstExp 12-20'!D134</f>
        <v>42500</v>
      </c>
      <c r="C2741" s="5">
        <f t="shared" si="29"/>
        <v>-39764</v>
      </c>
      <c r="D2741" s="6"/>
    </row>
    <row r="2742" spans="1:4" x14ac:dyDescent="0.2">
      <c r="A2742">
        <v>2737</v>
      </c>
      <c r="B2742" s="14">
        <f>'EstExp 12-20'!E134</f>
        <v>0</v>
      </c>
      <c r="C2742" s="5">
        <f t="shared" si="29"/>
        <v>2737</v>
      </c>
      <c r="D2742" s="6"/>
    </row>
    <row r="2743" spans="1:4" x14ac:dyDescent="0.2">
      <c r="A2743">
        <v>2738</v>
      </c>
      <c r="B2743" s="14">
        <f>'EstExp 12-20'!F134</f>
        <v>1000</v>
      </c>
      <c r="C2743" s="5">
        <f t="shared" si="29"/>
        <v>1738</v>
      </c>
      <c r="D2743" s="6"/>
    </row>
    <row r="2744" spans="1:4" x14ac:dyDescent="0.2">
      <c r="A2744">
        <v>2739</v>
      </c>
      <c r="B2744" s="14">
        <f>'EstExp 12-20'!G134</f>
        <v>1000</v>
      </c>
      <c r="C2744" s="5">
        <f t="shared" si="29"/>
        <v>1739</v>
      </c>
      <c r="D2744" s="6"/>
    </row>
    <row r="2745" spans="1:4" x14ac:dyDescent="0.2">
      <c r="A2745">
        <v>2740</v>
      </c>
      <c r="B2745" s="14">
        <f>'EstExp 12-20'!H134</f>
        <v>5000</v>
      </c>
      <c r="C2745" s="5">
        <f t="shared" si="29"/>
        <v>-2260</v>
      </c>
      <c r="D2745" s="6"/>
    </row>
    <row r="2746" spans="1:4" x14ac:dyDescent="0.2">
      <c r="A2746">
        <v>2741</v>
      </c>
      <c r="B2746" s="14">
        <f>'EstExp 12-20'!I134</f>
        <v>0</v>
      </c>
      <c r="C2746" s="5">
        <f t="shared" si="29"/>
        <v>2741</v>
      </c>
      <c r="D2746" s="6"/>
    </row>
    <row r="2747" spans="1:4" x14ac:dyDescent="0.2">
      <c r="A2747" s="3">
        <v>2742</v>
      </c>
      <c r="D2747" s="7"/>
    </row>
    <row r="2748" spans="1:4" x14ac:dyDescent="0.2">
      <c r="A2748" s="3">
        <v>2743</v>
      </c>
      <c r="D2748" s="6" t="s">
        <v>299</v>
      </c>
    </row>
    <row r="2749" spans="1:4" x14ac:dyDescent="0.2">
      <c r="A2749">
        <v>2744</v>
      </c>
      <c r="B2749" s="14">
        <f>'EstExp 12-20'!L134</f>
        <v>49500</v>
      </c>
      <c r="C2749" s="5">
        <f t="shared" si="29"/>
        <v>-46756</v>
      </c>
      <c r="D2749" s="6"/>
    </row>
    <row r="2750" spans="1:4" x14ac:dyDescent="0.2">
      <c r="A2750">
        <v>2745</v>
      </c>
      <c r="B2750" s="14">
        <f>'BudgetSum 2-4'!D53</f>
        <v>0</v>
      </c>
      <c r="C2750" s="5">
        <f t="shared" si="29"/>
        <v>2745</v>
      </c>
      <c r="D2750" s="6"/>
    </row>
    <row r="2751" spans="1:4" x14ac:dyDescent="0.2">
      <c r="A2751">
        <v>2746</v>
      </c>
      <c r="B2751" s="14">
        <f>'EstExp 12-20'!I148</f>
        <v>0</v>
      </c>
      <c r="C2751" s="5">
        <f t="shared" si="29"/>
        <v>2746</v>
      </c>
      <c r="D2751" s="6"/>
    </row>
    <row r="2752" spans="1:4" x14ac:dyDescent="0.2">
      <c r="A2752">
        <v>2747</v>
      </c>
      <c r="B2752" s="14">
        <f>'EstExp 12-20'!I149</f>
        <v>0</v>
      </c>
      <c r="C2752" s="5">
        <f t="shared" si="29"/>
        <v>2747</v>
      </c>
      <c r="D2752" s="6"/>
    </row>
    <row r="2753" spans="1:4" x14ac:dyDescent="0.2">
      <c r="A2753" s="3">
        <v>2748</v>
      </c>
      <c r="D2753" s="6" t="s">
        <v>299</v>
      </c>
    </row>
    <row r="2754" spans="1:4" x14ac:dyDescent="0.2">
      <c r="A2754">
        <v>2749</v>
      </c>
      <c r="B2754" s="14">
        <f>'EstExp 12-20'!L148</f>
        <v>0</v>
      </c>
      <c r="C2754" s="5">
        <f t="shared" si="29"/>
        <v>2749</v>
      </c>
      <c r="D2754" s="6"/>
    </row>
    <row r="2755" spans="1:4" x14ac:dyDescent="0.2">
      <c r="A2755">
        <v>2750</v>
      </c>
      <c r="B2755" s="14">
        <f>'EstExp 12-20'!L149</f>
        <v>0</v>
      </c>
      <c r="C2755" s="5">
        <f t="shared" si="29"/>
        <v>2750</v>
      </c>
      <c r="D2755" s="6"/>
    </row>
    <row r="2756" spans="1:4" x14ac:dyDescent="0.2">
      <c r="A2756">
        <v>2751</v>
      </c>
      <c r="B2756" s="14">
        <f>'EstExp 12-20'!I169</f>
        <v>0</v>
      </c>
      <c r="C2756" s="5">
        <f t="shared" si="29"/>
        <v>2751</v>
      </c>
      <c r="D2756" s="6"/>
    </row>
    <row r="2757" spans="1:4" x14ac:dyDescent="0.2">
      <c r="A2757">
        <v>2752</v>
      </c>
      <c r="B2757" s="14">
        <f>'EstExp 12-20'!I170</f>
        <v>0</v>
      </c>
      <c r="C2757" s="5">
        <f t="shared" si="29"/>
        <v>2752</v>
      </c>
      <c r="D2757" s="6"/>
    </row>
    <row r="2758" spans="1:4" x14ac:dyDescent="0.2">
      <c r="A2758" s="3">
        <v>2753</v>
      </c>
      <c r="D2758" s="6" t="s">
        <v>299</v>
      </c>
    </row>
    <row r="2759" spans="1:4" x14ac:dyDescent="0.2">
      <c r="A2759" s="3">
        <v>2754</v>
      </c>
      <c r="D2759" s="7"/>
    </row>
    <row r="2760" spans="1:4" x14ac:dyDescent="0.2">
      <c r="A2760" s="3">
        <v>2755</v>
      </c>
      <c r="D2760" s="6" t="s">
        <v>299</v>
      </c>
    </row>
    <row r="2761" spans="1:4" x14ac:dyDescent="0.2">
      <c r="A2761">
        <v>2756</v>
      </c>
      <c r="B2761" s="14">
        <f>'BudgetSum 2-4'!E53</f>
        <v>0</v>
      </c>
      <c r="C2761" s="5">
        <f t="shared" ref="C2761:C2792" si="30">A2761-B2761</f>
        <v>2756</v>
      </c>
      <c r="D2761" s="6"/>
    </row>
    <row r="2762" spans="1:4" x14ac:dyDescent="0.2">
      <c r="A2762">
        <v>2757</v>
      </c>
      <c r="B2762" s="14">
        <f>'EstExp 12-20'!L169</f>
        <v>0</v>
      </c>
      <c r="C2762" s="5">
        <f t="shared" si="30"/>
        <v>2757</v>
      </c>
      <c r="D2762" s="6"/>
    </row>
    <row r="2763" spans="1:4" x14ac:dyDescent="0.2">
      <c r="A2763">
        <v>2758</v>
      </c>
      <c r="B2763" s="14">
        <f>'EstExp 12-20'!L170</f>
        <v>0</v>
      </c>
      <c r="C2763" s="5">
        <f t="shared" si="30"/>
        <v>2758</v>
      </c>
      <c r="D2763" s="6"/>
    </row>
    <row r="2764" spans="1:4" x14ac:dyDescent="0.2">
      <c r="A2764">
        <v>2759</v>
      </c>
      <c r="B2764" s="14">
        <f>'EstExp 12-20'!D189</f>
        <v>0</v>
      </c>
      <c r="C2764" s="5">
        <f t="shared" si="30"/>
        <v>2759</v>
      </c>
      <c r="D2764" s="6"/>
    </row>
    <row r="2765" spans="1:4" x14ac:dyDescent="0.2">
      <c r="A2765">
        <v>2760</v>
      </c>
      <c r="B2765" s="14">
        <f>'EstExp 12-20'!E189</f>
        <v>0</v>
      </c>
      <c r="C2765" s="5">
        <f t="shared" si="30"/>
        <v>2760</v>
      </c>
      <c r="D2765" s="6"/>
    </row>
    <row r="2766" spans="1:4" x14ac:dyDescent="0.2">
      <c r="A2766">
        <v>2761</v>
      </c>
      <c r="B2766" s="14">
        <f>'EstExp 12-20'!F189</f>
        <v>0</v>
      </c>
      <c r="C2766" s="5">
        <f t="shared" si="30"/>
        <v>2761</v>
      </c>
      <c r="D2766" s="6"/>
    </row>
    <row r="2767" spans="1:4" x14ac:dyDescent="0.2">
      <c r="A2767">
        <v>2762</v>
      </c>
      <c r="B2767" s="14">
        <f>'EstExp 12-20'!F198</f>
        <v>0</v>
      </c>
      <c r="C2767" s="5">
        <f t="shared" si="30"/>
        <v>2762</v>
      </c>
      <c r="D2767" s="6"/>
    </row>
    <row r="2768" spans="1:4" x14ac:dyDescent="0.2">
      <c r="A2768">
        <v>2763</v>
      </c>
      <c r="B2768" s="14">
        <f>'EstExp 12-20'!F199</f>
        <v>0</v>
      </c>
      <c r="C2768" s="5">
        <f t="shared" si="30"/>
        <v>2763</v>
      </c>
      <c r="D2768" s="6"/>
    </row>
    <row r="2769" spans="1:4" x14ac:dyDescent="0.2">
      <c r="A2769">
        <v>2764</v>
      </c>
      <c r="B2769" s="14">
        <f>'EstExp 12-20'!G189</f>
        <v>0</v>
      </c>
      <c r="C2769" s="5">
        <f t="shared" si="30"/>
        <v>2764</v>
      </c>
      <c r="D2769" s="6"/>
    </row>
    <row r="2770" spans="1:4" x14ac:dyDescent="0.2">
      <c r="A2770">
        <v>2765</v>
      </c>
      <c r="B2770" s="14">
        <f>'EstExp 12-20'!H189</f>
        <v>0</v>
      </c>
      <c r="C2770" s="5">
        <f t="shared" si="30"/>
        <v>2765</v>
      </c>
      <c r="D2770" s="6"/>
    </row>
    <row r="2771" spans="1:4" x14ac:dyDescent="0.2">
      <c r="A2771">
        <v>2766</v>
      </c>
      <c r="B2771" s="14">
        <f>'EstExp 12-20'!I189</f>
        <v>0</v>
      </c>
      <c r="C2771" s="5">
        <f t="shared" si="30"/>
        <v>2766</v>
      </c>
      <c r="D2771" s="6"/>
    </row>
    <row r="2772" spans="1:4" x14ac:dyDescent="0.2">
      <c r="A2772">
        <v>2767</v>
      </c>
      <c r="B2772" s="14">
        <f>'EstExp 12-20'!I198</f>
        <v>0</v>
      </c>
      <c r="C2772" s="5">
        <f t="shared" si="30"/>
        <v>2767</v>
      </c>
      <c r="D2772" s="6"/>
    </row>
    <row r="2773" spans="1:4" x14ac:dyDescent="0.2">
      <c r="A2773">
        <v>2768</v>
      </c>
      <c r="B2773" s="14">
        <f>'EstExp 12-20'!I199</f>
        <v>0</v>
      </c>
      <c r="C2773" s="5">
        <f t="shared" si="30"/>
        <v>2768</v>
      </c>
      <c r="D2773" s="6"/>
    </row>
    <row r="2774" spans="1:4" x14ac:dyDescent="0.2">
      <c r="A2774">
        <v>2769</v>
      </c>
      <c r="B2774" s="14">
        <f>'EstExp 12-20'!I200</f>
        <v>0</v>
      </c>
      <c r="C2774" s="5">
        <f t="shared" si="30"/>
        <v>2769</v>
      </c>
      <c r="D2774" s="6"/>
    </row>
    <row r="2775" spans="1:4" x14ac:dyDescent="0.2">
      <c r="A2775">
        <v>2770</v>
      </c>
      <c r="B2775" s="14">
        <f>'EstExp 12-20'!I205</f>
        <v>0</v>
      </c>
      <c r="C2775" s="5">
        <f t="shared" si="30"/>
        <v>2770</v>
      </c>
      <c r="D2775" s="6"/>
    </row>
    <row r="2776" spans="1:4" x14ac:dyDescent="0.2">
      <c r="A2776">
        <v>2771</v>
      </c>
      <c r="B2776" s="14">
        <f>'EstExp 12-20'!I206</f>
        <v>0</v>
      </c>
      <c r="C2776" s="5">
        <f t="shared" si="30"/>
        <v>2771</v>
      </c>
      <c r="D2776" s="6"/>
    </row>
    <row r="2777" spans="1:4" x14ac:dyDescent="0.2">
      <c r="A2777" s="3">
        <v>2772</v>
      </c>
      <c r="D2777" s="7" t="s">
        <v>299</v>
      </c>
    </row>
    <row r="2778" spans="1:4" x14ac:dyDescent="0.2">
      <c r="A2778" s="3">
        <v>2773</v>
      </c>
      <c r="D2778" s="6" t="s">
        <v>299</v>
      </c>
    </row>
    <row r="2779" spans="1:4" x14ac:dyDescent="0.2">
      <c r="A2779" s="3">
        <v>2774</v>
      </c>
      <c r="D2779" s="7"/>
    </row>
    <row r="2780" spans="1:4" x14ac:dyDescent="0.2">
      <c r="A2780">
        <v>2775</v>
      </c>
      <c r="B2780" s="14">
        <f>'EstExp 12-20'!L189</f>
        <v>0</v>
      </c>
      <c r="C2780" s="5">
        <f t="shared" si="30"/>
        <v>2775</v>
      </c>
      <c r="D2780" s="6"/>
    </row>
    <row r="2781" spans="1:4" x14ac:dyDescent="0.2">
      <c r="A2781">
        <v>2776</v>
      </c>
      <c r="B2781" s="14">
        <f>'EstExp 12-20'!L198</f>
        <v>0</v>
      </c>
      <c r="C2781" s="5">
        <f t="shared" si="30"/>
        <v>2776</v>
      </c>
      <c r="D2781" s="6"/>
    </row>
    <row r="2782" spans="1:4" x14ac:dyDescent="0.2">
      <c r="A2782" s="3">
        <v>2777</v>
      </c>
      <c r="D2782" s="7"/>
    </row>
    <row r="2783" spans="1:4" x14ac:dyDescent="0.2">
      <c r="A2783">
        <v>2778</v>
      </c>
      <c r="B2783" s="14">
        <f>'EstExp 12-20'!L199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12-20'!L205</f>
        <v>0</v>
      </c>
      <c r="C2785" s="5">
        <f t="shared" si="30"/>
        <v>2780</v>
      </c>
      <c r="D2785" s="6"/>
    </row>
    <row r="2786" spans="1:4" x14ac:dyDescent="0.2">
      <c r="A2786">
        <v>2781</v>
      </c>
      <c r="B2786" s="14">
        <f>'EstExp 12-20'!L206</f>
        <v>0</v>
      </c>
      <c r="C2786" s="5">
        <f t="shared" si="30"/>
        <v>2781</v>
      </c>
      <c r="D2786" s="6"/>
    </row>
    <row r="2787" spans="1:4" x14ac:dyDescent="0.2">
      <c r="A2787">
        <v>2782</v>
      </c>
      <c r="B2787" s="14">
        <f>'EstExp 12-20'!I287</f>
        <v>0</v>
      </c>
      <c r="C2787" s="5">
        <f t="shared" si="30"/>
        <v>2782</v>
      </c>
      <c r="D2787" s="6"/>
    </row>
    <row r="2788" spans="1:4" x14ac:dyDescent="0.2">
      <c r="A2788">
        <v>2783</v>
      </c>
      <c r="B2788" s="14">
        <f>'EstExp 12-20'!I288</f>
        <v>0</v>
      </c>
      <c r="C2788" s="5">
        <f t="shared" si="30"/>
        <v>2783</v>
      </c>
      <c r="D2788" s="6"/>
    </row>
    <row r="2789" spans="1:4" x14ac:dyDescent="0.2">
      <c r="A2789">
        <v>2784</v>
      </c>
      <c r="B2789" s="14">
        <f>'EstExp 12-20'!L287</f>
        <v>0</v>
      </c>
      <c r="C2789" s="5">
        <f t="shared" si="30"/>
        <v>2784</v>
      </c>
      <c r="D2789" s="6"/>
    </row>
    <row r="2790" spans="1:4" x14ac:dyDescent="0.2">
      <c r="A2790">
        <v>2785</v>
      </c>
      <c r="B2790" s="14">
        <f>'EstExp 12-20'!L288</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299</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299</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12-20'!F103</f>
        <v>0</v>
      </c>
      <c r="C2891" s="5">
        <f t="shared" ref="C2891:C2951" si="31">A2891-B2891</f>
        <v>2886</v>
      </c>
      <c r="D2891" s="6"/>
    </row>
    <row r="2892" spans="1:4" x14ac:dyDescent="0.2">
      <c r="A2892" s="3">
        <v>2887</v>
      </c>
      <c r="D2892" s="7"/>
    </row>
    <row r="2893" spans="1:4" x14ac:dyDescent="0.2">
      <c r="A2893">
        <v>2888</v>
      </c>
      <c r="B2893" s="14">
        <f>'EstExp 12-20'!F80</f>
        <v>0</v>
      </c>
      <c r="C2893" s="5">
        <f t="shared" si="31"/>
        <v>2888</v>
      </c>
      <c r="D2893" s="6"/>
    </row>
    <row r="2894" spans="1:4" x14ac:dyDescent="0.2">
      <c r="A2894">
        <v>2889</v>
      </c>
      <c r="B2894" s="14">
        <f>'EstExp 12-20'!F81</f>
        <v>0</v>
      </c>
      <c r="C2894" s="5">
        <f t="shared" si="31"/>
        <v>2889</v>
      </c>
      <c r="D2894" s="6"/>
    </row>
    <row r="2895" spans="1:4" x14ac:dyDescent="0.2">
      <c r="A2895">
        <v>2890</v>
      </c>
      <c r="B2895" s="14">
        <f>'EstExp 12-20'!F82</f>
        <v>0</v>
      </c>
      <c r="C2895" s="5">
        <f t="shared" si="31"/>
        <v>2890</v>
      </c>
      <c r="D2895" s="6"/>
    </row>
    <row r="2896" spans="1:4" x14ac:dyDescent="0.2">
      <c r="A2896">
        <v>2891</v>
      </c>
      <c r="B2896" s="14">
        <f>'EstExp 12-20'!F83</f>
        <v>0</v>
      </c>
      <c r="C2896" s="5">
        <f t="shared" si="31"/>
        <v>2891</v>
      </c>
      <c r="D2896" s="6"/>
    </row>
    <row r="2897" spans="1:4" x14ac:dyDescent="0.2">
      <c r="A2897">
        <v>2892</v>
      </c>
      <c r="B2897" s="14">
        <f>'EstExp 12-20'!F84</f>
        <v>0</v>
      </c>
      <c r="C2897" s="5">
        <f t="shared" si="31"/>
        <v>2892</v>
      </c>
      <c r="D2897" s="6"/>
    </row>
    <row r="2898" spans="1:4" x14ac:dyDescent="0.2">
      <c r="A2898">
        <v>2893</v>
      </c>
      <c r="B2898" s="14">
        <f>'EstExp 12-20'!F85</f>
        <v>0</v>
      </c>
      <c r="C2898" s="5">
        <f t="shared" si="31"/>
        <v>2893</v>
      </c>
      <c r="D2898" s="6"/>
    </row>
    <row r="2899" spans="1:4" x14ac:dyDescent="0.2">
      <c r="A2899">
        <v>2894</v>
      </c>
      <c r="B2899" s="14">
        <f>'EstExp 12-20'!I80</f>
        <v>2000</v>
      </c>
      <c r="C2899" s="5">
        <f t="shared" si="31"/>
        <v>894</v>
      </c>
      <c r="D2899" s="6"/>
    </row>
    <row r="2900" spans="1:4" x14ac:dyDescent="0.2">
      <c r="A2900">
        <v>2895</v>
      </c>
      <c r="B2900" s="14">
        <f>'EstExp 12-20'!I81</f>
        <v>1200000</v>
      </c>
      <c r="C2900" s="5">
        <f t="shared" si="31"/>
        <v>-1197105</v>
      </c>
      <c r="D2900" s="6"/>
    </row>
    <row r="2901" spans="1:4" x14ac:dyDescent="0.2">
      <c r="A2901">
        <v>2896</v>
      </c>
      <c r="B2901" s="14">
        <f>'EstExp 12-20'!I82</f>
        <v>0</v>
      </c>
      <c r="C2901" s="5">
        <f t="shared" si="31"/>
        <v>2896</v>
      </c>
      <c r="D2901" s="6"/>
    </row>
    <row r="2902" spans="1:4" x14ac:dyDescent="0.2">
      <c r="A2902">
        <v>2897</v>
      </c>
      <c r="B2902" s="14">
        <f>'EstExp 12-20'!I83</f>
        <v>0</v>
      </c>
      <c r="C2902" s="5">
        <f t="shared" si="31"/>
        <v>2897</v>
      </c>
      <c r="D2902" s="6"/>
    </row>
    <row r="2903" spans="1:4" x14ac:dyDescent="0.2">
      <c r="A2903">
        <v>2898</v>
      </c>
      <c r="B2903" s="14">
        <f>'EstExp 12-20'!I84</f>
        <v>0</v>
      </c>
      <c r="C2903" s="5">
        <f t="shared" si="31"/>
        <v>2898</v>
      </c>
      <c r="D2903" s="6"/>
    </row>
    <row r="2904" spans="1:4" x14ac:dyDescent="0.2">
      <c r="A2904">
        <v>2899</v>
      </c>
      <c r="B2904" s="14">
        <f>'EstExp 12-20'!I85</f>
        <v>0</v>
      </c>
      <c r="C2904" s="5">
        <f t="shared" si="31"/>
        <v>2899</v>
      </c>
      <c r="D2904" s="6"/>
    </row>
    <row r="2905" spans="1:4" x14ac:dyDescent="0.2">
      <c r="A2905" s="3">
        <v>2900</v>
      </c>
      <c r="D2905" s="6" t="s">
        <v>299</v>
      </c>
    </row>
    <row r="2906" spans="1:4" x14ac:dyDescent="0.2">
      <c r="A2906" s="3">
        <v>2901</v>
      </c>
      <c r="D2906" s="6" t="s">
        <v>299</v>
      </c>
    </row>
    <row r="2907" spans="1:4" x14ac:dyDescent="0.2">
      <c r="A2907" s="3">
        <v>2902</v>
      </c>
      <c r="D2907" s="6" t="s">
        <v>299</v>
      </c>
    </row>
    <row r="2908" spans="1:4" x14ac:dyDescent="0.2">
      <c r="A2908" s="3">
        <v>2903</v>
      </c>
      <c r="D2908" s="6" t="s">
        <v>299</v>
      </c>
    </row>
    <row r="2909" spans="1:4" x14ac:dyDescent="0.2">
      <c r="A2909" s="3">
        <v>2904</v>
      </c>
      <c r="D2909" s="6" t="s">
        <v>299</v>
      </c>
    </row>
    <row r="2910" spans="1:4" x14ac:dyDescent="0.2">
      <c r="A2910" s="3">
        <v>2905</v>
      </c>
      <c r="D2910" s="6" t="s">
        <v>299</v>
      </c>
    </row>
    <row r="2911" spans="1:4" x14ac:dyDescent="0.2">
      <c r="A2911" s="3">
        <v>2906</v>
      </c>
      <c r="D2911" s="6" t="s">
        <v>299</v>
      </c>
    </row>
    <row r="2912" spans="1:4" x14ac:dyDescent="0.2">
      <c r="A2912" s="3">
        <v>2907</v>
      </c>
      <c r="D2912" s="6" t="s">
        <v>299</v>
      </c>
    </row>
    <row r="2913" spans="1:4" x14ac:dyDescent="0.2">
      <c r="A2913" s="3">
        <v>2908</v>
      </c>
      <c r="D2913" s="6" t="s">
        <v>299</v>
      </c>
    </row>
    <row r="2914" spans="1:4" x14ac:dyDescent="0.2">
      <c r="A2914" s="3">
        <v>2909</v>
      </c>
      <c r="D2914" s="6" t="s">
        <v>299</v>
      </c>
    </row>
    <row r="2915" spans="1:4" x14ac:dyDescent="0.2">
      <c r="A2915" s="3">
        <v>2910</v>
      </c>
      <c r="D2915" s="6" t="s">
        <v>299</v>
      </c>
    </row>
    <row r="2916" spans="1:4" x14ac:dyDescent="0.2">
      <c r="A2916" s="3">
        <v>2911</v>
      </c>
      <c r="D2916" s="6" t="s">
        <v>299</v>
      </c>
    </row>
    <row r="2917" spans="1:4" x14ac:dyDescent="0.2">
      <c r="A2917">
        <v>2912</v>
      </c>
      <c r="B2917" s="14">
        <f>'EstExp 12-20'!L80</f>
        <v>2000</v>
      </c>
      <c r="C2917" s="5">
        <f t="shared" si="31"/>
        <v>912</v>
      </c>
      <c r="D2917" s="6"/>
    </row>
    <row r="2918" spans="1:4" x14ac:dyDescent="0.2">
      <c r="A2918">
        <v>2913</v>
      </c>
      <c r="B2918" s="14">
        <f>'EstExp 12-20'!L81</f>
        <v>1200000</v>
      </c>
      <c r="C2918" s="5">
        <f t="shared" si="31"/>
        <v>-1197087</v>
      </c>
      <c r="D2918" s="6"/>
    </row>
    <row r="2919" spans="1:4" x14ac:dyDescent="0.2">
      <c r="A2919">
        <v>2914</v>
      </c>
      <c r="B2919" s="14">
        <f>'EstExp 12-20'!L82</f>
        <v>0</v>
      </c>
      <c r="C2919" s="5">
        <f t="shared" si="31"/>
        <v>2914</v>
      </c>
      <c r="D2919" s="6"/>
    </row>
    <row r="2920" spans="1:4" x14ac:dyDescent="0.2">
      <c r="A2920">
        <v>2915</v>
      </c>
      <c r="B2920" s="14">
        <f>'EstExp 12-20'!L83</f>
        <v>0</v>
      </c>
      <c r="C2920" s="5">
        <f t="shared" si="31"/>
        <v>2915</v>
      </c>
      <c r="D2920" s="6"/>
    </row>
    <row r="2921" spans="1:4" x14ac:dyDescent="0.2">
      <c r="A2921">
        <v>2916</v>
      </c>
      <c r="B2921" s="14">
        <f>'EstExp 12-20'!L84</f>
        <v>0</v>
      </c>
      <c r="C2921" s="5">
        <f t="shared" si="31"/>
        <v>2916</v>
      </c>
      <c r="D2921" s="6"/>
    </row>
    <row r="2922" spans="1:4" x14ac:dyDescent="0.2">
      <c r="A2922">
        <v>2917</v>
      </c>
      <c r="B2922" s="14">
        <f>'EstExp 12-20'!L85</f>
        <v>0</v>
      </c>
      <c r="C2922" s="5">
        <f t="shared" si="31"/>
        <v>2917</v>
      </c>
      <c r="D2922" s="6"/>
    </row>
    <row r="2923" spans="1:4" x14ac:dyDescent="0.2">
      <c r="A2923">
        <v>2918</v>
      </c>
      <c r="B2923" s="14">
        <f>'EstExp 12-20'!I138</f>
        <v>0</v>
      </c>
      <c r="C2923" s="5">
        <f t="shared" si="31"/>
        <v>2918</v>
      </c>
      <c r="D2923" s="6"/>
    </row>
    <row r="2924" spans="1:4" x14ac:dyDescent="0.2">
      <c r="A2924">
        <v>2919</v>
      </c>
      <c r="B2924" s="14">
        <f>'EstExp 12-20'!I139</f>
        <v>0</v>
      </c>
      <c r="C2924" s="5">
        <f t="shared" si="31"/>
        <v>2919</v>
      </c>
      <c r="D2924" s="6"/>
    </row>
    <row r="2925" spans="1:4" x14ac:dyDescent="0.2">
      <c r="A2925">
        <v>2920</v>
      </c>
      <c r="B2925" s="14">
        <f>'EstExp 12-20'!I140</f>
        <v>0</v>
      </c>
      <c r="C2925" s="5">
        <f t="shared" si="31"/>
        <v>2920</v>
      </c>
      <c r="D2925" s="6"/>
    </row>
    <row r="2926" spans="1:4" x14ac:dyDescent="0.2">
      <c r="A2926" s="3">
        <v>2921</v>
      </c>
      <c r="D2926" s="6" t="s">
        <v>299</v>
      </c>
    </row>
    <row r="2927" spans="1:4" x14ac:dyDescent="0.2">
      <c r="A2927" s="3">
        <v>2922</v>
      </c>
      <c r="D2927" s="6" t="s">
        <v>299</v>
      </c>
    </row>
    <row r="2928" spans="1:4" x14ac:dyDescent="0.2">
      <c r="A2928" s="3">
        <v>2923</v>
      </c>
      <c r="D2928" s="6" t="s">
        <v>299</v>
      </c>
    </row>
    <row r="2929" spans="1:4" x14ac:dyDescent="0.2">
      <c r="A2929" s="3">
        <v>2924</v>
      </c>
      <c r="D2929" s="6" t="s">
        <v>299</v>
      </c>
    </row>
    <row r="2930" spans="1:4" x14ac:dyDescent="0.2">
      <c r="A2930">
        <v>2925</v>
      </c>
      <c r="B2930" s="14">
        <f>'EstExp 12-20'!L138</f>
        <v>0</v>
      </c>
      <c r="C2930" s="5">
        <f t="shared" si="31"/>
        <v>2925</v>
      </c>
      <c r="D2930" s="6"/>
    </row>
    <row r="2931" spans="1:4" x14ac:dyDescent="0.2">
      <c r="A2931">
        <v>2926</v>
      </c>
      <c r="B2931" s="14">
        <f>'EstExp 12-20'!L139</f>
        <v>0</v>
      </c>
      <c r="C2931" s="5">
        <f t="shared" si="31"/>
        <v>2926</v>
      </c>
      <c r="D2931" s="6"/>
    </row>
    <row r="2932" spans="1:4" x14ac:dyDescent="0.2">
      <c r="A2932">
        <v>2927</v>
      </c>
      <c r="B2932" s="14">
        <f>'EstExp 12-20'!L140</f>
        <v>0</v>
      </c>
      <c r="C2932" s="5">
        <f t="shared" si="31"/>
        <v>2927</v>
      </c>
      <c r="D2932" s="6"/>
    </row>
    <row r="2933" spans="1:4" x14ac:dyDescent="0.2">
      <c r="A2933">
        <v>2928</v>
      </c>
      <c r="B2933" s="14">
        <f>'EstExp 12-20'!F192</f>
        <v>0</v>
      </c>
      <c r="C2933" s="5">
        <f t="shared" si="31"/>
        <v>2928</v>
      </c>
      <c r="D2933" s="6"/>
    </row>
    <row r="2934" spans="1:4" x14ac:dyDescent="0.2">
      <c r="A2934">
        <v>2929</v>
      </c>
      <c r="B2934" s="14">
        <f>'EstExp 12-20'!F193</f>
        <v>0</v>
      </c>
      <c r="C2934" s="5">
        <f t="shared" si="31"/>
        <v>2929</v>
      </c>
      <c r="D2934" s="6"/>
    </row>
    <row r="2935" spans="1:4" x14ac:dyDescent="0.2">
      <c r="A2935">
        <v>2930</v>
      </c>
      <c r="B2935" s="14">
        <f>'EstExp 12-20'!F194</f>
        <v>0</v>
      </c>
      <c r="C2935" s="5">
        <f t="shared" si="31"/>
        <v>2930</v>
      </c>
      <c r="D2935" s="6"/>
    </row>
    <row r="2936" spans="1:4" x14ac:dyDescent="0.2">
      <c r="A2936">
        <v>2931</v>
      </c>
      <c r="B2936" s="14">
        <f>'EstExp 12-20'!F195</f>
        <v>0</v>
      </c>
      <c r="C2936" s="5">
        <f t="shared" si="31"/>
        <v>2931</v>
      </c>
      <c r="D2936" s="6"/>
    </row>
    <row r="2937" spans="1:4" x14ac:dyDescent="0.2">
      <c r="A2937">
        <v>2932</v>
      </c>
      <c r="B2937" s="14">
        <f>'EstExp 12-20'!F196</f>
        <v>0</v>
      </c>
      <c r="C2937" s="5">
        <f t="shared" si="31"/>
        <v>2932</v>
      </c>
      <c r="D2937" s="6"/>
    </row>
    <row r="2938" spans="1:4" x14ac:dyDescent="0.2">
      <c r="A2938">
        <v>2933</v>
      </c>
      <c r="B2938" s="14">
        <f>'EstExp 12-20'!F197</f>
        <v>0</v>
      </c>
      <c r="C2938" s="5">
        <f t="shared" si="31"/>
        <v>2933</v>
      </c>
      <c r="D2938" s="6"/>
    </row>
    <row r="2939" spans="1:4" x14ac:dyDescent="0.2">
      <c r="A2939">
        <v>2934</v>
      </c>
      <c r="B2939" s="14">
        <f>'EstExp 12-20'!I192</f>
        <v>0</v>
      </c>
      <c r="C2939" s="5">
        <f t="shared" si="31"/>
        <v>2934</v>
      </c>
      <c r="D2939" s="6"/>
    </row>
    <row r="2940" spans="1:4" x14ac:dyDescent="0.2">
      <c r="A2940">
        <v>2935</v>
      </c>
      <c r="B2940" s="14">
        <f>'EstExp 12-20'!I193</f>
        <v>0</v>
      </c>
      <c r="C2940" s="5">
        <f t="shared" si="31"/>
        <v>2935</v>
      </c>
      <c r="D2940" s="6"/>
    </row>
    <row r="2941" spans="1:4" x14ac:dyDescent="0.2">
      <c r="A2941">
        <v>2936</v>
      </c>
      <c r="B2941" s="14">
        <f>'EstExp 12-20'!I194</f>
        <v>0</v>
      </c>
      <c r="C2941" s="5">
        <f t="shared" si="31"/>
        <v>2936</v>
      </c>
      <c r="D2941" s="6"/>
    </row>
    <row r="2942" spans="1:4" x14ac:dyDescent="0.2">
      <c r="A2942">
        <v>2937</v>
      </c>
      <c r="B2942" s="14">
        <f>'EstExp 12-20'!I195</f>
        <v>0</v>
      </c>
      <c r="C2942" s="5">
        <f t="shared" si="31"/>
        <v>2937</v>
      </c>
      <c r="D2942" s="6"/>
    </row>
    <row r="2943" spans="1:4" x14ac:dyDescent="0.2">
      <c r="A2943">
        <v>2938</v>
      </c>
      <c r="B2943" s="14">
        <f>'EstExp 12-20'!I196</f>
        <v>0</v>
      </c>
      <c r="C2943" s="5">
        <f t="shared" si="31"/>
        <v>2938</v>
      </c>
      <c r="D2943" s="6"/>
    </row>
    <row r="2944" spans="1:4" x14ac:dyDescent="0.2">
      <c r="A2944">
        <v>2939</v>
      </c>
      <c r="B2944" s="14">
        <f>'EstExp 12-20'!I197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12-20'!L192</f>
        <v>0</v>
      </c>
      <c r="C2951" s="5">
        <f t="shared" si="31"/>
        <v>2946</v>
      </c>
      <c r="D2951" s="6"/>
    </row>
    <row r="2952" spans="1:4" x14ac:dyDescent="0.2">
      <c r="A2952">
        <v>2947</v>
      </c>
      <c r="B2952" s="14">
        <f>'EstExp 12-20'!L193</f>
        <v>0</v>
      </c>
      <c r="C2952" s="5">
        <f t="shared" ref="C2952:C3009" si="32">A2952-B2952</f>
        <v>2947</v>
      </c>
      <c r="D2952" s="6"/>
    </row>
    <row r="2953" spans="1:4" x14ac:dyDescent="0.2">
      <c r="A2953">
        <v>2948</v>
      </c>
      <c r="B2953" s="14">
        <f>'EstExp 12-20'!L194</f>
        <v>0</v>
      </c>
      <c r="C2953" s="5">
        <f t="shared" si="32"/>
        <v>2948</v>
      </c>
      <c r="D2953" s="6"/>
    </row>
    <row r="2954" spans="1:4" x14ac:dyDescent="0.2">
      <c r="A2954">
        <v>2949</v>
      </c>
      <c r="B2954" s="14">
        <f>'EstExp 12-20'!L195</f>
        <v>0</v>
      </c>
      <c r="C2954" s="5">
        <f t="shared" si="32"/>
        <v>2949</v>
      </c>
      <c r="D2954" s="6"/>
    </row>
    <row r="2955" spans="1:4" x14ac:dyDescent="0.2">
      <c r="A2955">
        <v>2950</v>
      </c>
      <c r="B2955" s="14">
        <f>'EstExp 12-20'!L196</f>
        <v>0</v>
      </c>
      <c r="C2955" s="5">
        <f t="shared" si="32"/>
        <v>2950</v>
      </c>
      <c r="D2955" s="6"/>
    </row>
    <row r="2956" spans="1:4" x14ac:dyDescent="0.2">
      <c r="A2956">
        <v>2951</v>
      </c>
      <c r="B2956" s="14">
        <f>'EstExp 12-20'!L197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12-20'!D10</f>
        <v>0</v>
      </c>
      <c r="C2999" s="5">
        <f t="shared" si="32"/>
        <v>2994</v>
      </c>
      <c r="D2999" s="6"/>
    </row>
    <row r="3000" spans="1:4" x14ac:dyDescent="0.2">
      <c r="A3000">
        <v>2995</v>
      </c>
      <c r="B3000" s="14">
        <f>'EstExp 12-20'!E10</f>
        <v>0</v>
      </c>
      <c r="C3000" s="5">
        <f t="shared" si="32"/>
        <v>2995</v>
      </c>
      <c r="D3000" s="6"/>
    </row>
    <row r="3001" spans="1:4" x14ac:dyDescent="0.2">
      <c r="A3001">
        <v>2996</v>
      </c>
      <c r="B3001" s="14">
        <f>'EstExp 12-20'!F10</f>
        <v>0</v>
      </c>
      <c r="C3001" s="5">
        <f t="shared" si="32"/>
        <v>2996</v>
      </c>
      <c r="D3001" s="6"/>
    </row>
    <row r="3002" spans="1:4" x14ac:dyDescent="0.2">
      <c r="A3002">
        <v>2997</v>
      </c>
      <c r="B3002" s="14">
        <f>'EstExp 12-20'!G10</f>
        <v>0</v>
      </c>
      <c r="C3002" s="5">
        <f t="shared" si="32"/>
        <v>2997</v>
      </c>
      <c r="D3002" s="6"/>
    </row>
    <row r="3003" spans="1:4" x14ac:dyDescent="0.2">
      <c r="A3003">
        <v>2998</v>
      </c>
      <c r="B3003" s="14">
        <f>'EstExp 12-20'!H10</f>
        <v>0</v>
      </c>
      <c r="C3003" s="5">
        <f t="shared" si="32"/>
        <v>2998</v>
      </c>
      <c r="D3003" s="6"/>
    </row>
    <row r="3004" spans="1:4" x14ac:dyDescent="0.2">
      <c r="A3004">
        <v>2999</v>
      </c>
      <c r="B3004" s="14">
        <f>'EstExp 12-20'!I10</f>
        <v>0</v>
      </c>
      <c r="C3004" s="5">
        <f t="shared" si="32"/>
        <v>2999</v>
      </c>
      <c r="D3004" s="6"/>
    </row>
    <row r="3005" spans="1:4" x14ac:dyDescent="0.2">
      <c r="A3005" s="3">
        <v>3000</v>
      </c>
      <c r="D3005" s="6" t="s">
        <v>299</v>
      </c>
    </row>
    <row r="3006" spans="1:4" x14ac:dyDescent="0.2">
      <c r="A3006">
        <v>3001</v>
      </c>
      <c r="B3006" s="14">
        <f>'EstExp 12-20'!L10</f>
        <v>0</v>
      </c>
      <c r="C3006" s="5">
        <f t="shared" si="32"/>
        <v>3001</v>
      </c>
      <c r="D3006" s="6"/>
    </row>
    <row r="3007" spans="1:4" x14ac:dyDescent="0.2">
      <c r="A3007" s="3">
        <v>3002</v>
      </c>
      <c r="D3007" s="6" t="s">
        <v>299</v>
      </c>
    </row>
    <row r="3008" spans="1:4" x14ac:dyDescent="0.2">
      <c r="A3008">
        <v>3003</v>
      </c>
      <c r="B3008" s="14">
        <f>'EstExp 12-20'!E223</f>
        <v>0</v>
      </c>
      <c r="C3008" s="5">
        <f t="shared" si="32"/>
        <v>3003</v>
      </c>
      <c r="D3008" s="6"/>
    </row>
    <row r="3009" spans="1:4" x14ac:dyDescent="0.2">
      <c r="A3009">
        <v>3004</v>
      </c>
      <c r="B3009" s="14">
        <f>'EstExp 12-20'!L223</f>
        <v>0</v>
      </c>
      <c r="C3009" s="5">
        <f t="shared" si="32"/>
        <v>3004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299</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299</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0</v>
      </c>
      <c r="C3169" s="5">
        <f t="shared" ref="C3169:C3205" si="35">A3169-B3169</f>
        <v>3164</v>
      </c>
      <c r="D3169" s="6"/>
    </row>
    <row r="3170" spans="1:4" x14ac:dyDescent="0.2">
      <c r="A3170">
        <v>3165</v>
      </c>
      <c r="B3170" s="14">
        <f>'BudgetSum 2-4'!I9</f>
        <v>0</v>
      </c>
      <c r="C3170" s="5">
        <f t="shared" si="35"/>
        <v>3165</v>
      </c>
      <c r="D3170" s="6"/>
    </row>
    <row r="3171" spans="1:4" x14ac:dyDescent="0.2">
      <c r="A3171">
        <v>3166</v>
      </c>
      <c r="B3171" s="14">
        <f>'BudgetSum 2-4'!I22</f>
        <v>0</v>
      </c>
      <c r="C3171" s="5">
        <f t="shared" si="35"/>
        <v>3166</v>
      </c>
      <c r="D3171" s="6"/>
    </row>
    <row r="3172" spans="1:4" x14ac:dyDescent="0.2">
      <c r="A3172">
        <v>3167</v>
      </c>
      <c r="B3172" s="14">
        <f>'BudgetSum 2-4'!C45</f>
        <v>0</v>
      </c>
      <c r="C3172" s="5">
        <f t="shared" si="35"/>
        <v>3167</v>
      </c>
      <c r="D3172" s="6"/>
    </row>
    <row r="3173" spans="1:4" x14ac:dyDescent="0.2">
      <c r="A3173">
        <v>3168</v>
      </c>
      <c r="B3173" s="14">
        <f>'BudgetSum 2-4'!C46</f>
        <v>-1500000</v>
      </c>
      <c r="C3173" s="5">
        <f t="shared" si="35"/>
        <v>1503168</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-1500000</v>
      </c>
      <c r="C3176" s="5">
        <f t="shared" si="35"/>
        <v>1503171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0</v>
      </c>
      <c r="C3181" s="5">
        <f t="shared" si="35"/>
        <v>3176</v>
      </c>
      <c r="D3181" s="6"/>
    </row>
    <row r="3182" spans="1:4" x14ac:dyDescent="0.2">
      <c r="A3182">
        <v>3177</v>
      </c>
      <c r="B3182" s="14">
        <f>'BudgetSum 2-4'!D80</f>
        <v>0</v>
      </c>
      <c r="C3182" s="5">
        <f t="shared" si="35"/>
        <v>3177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600000</v>
      </c>
      <c r="C3218" s="5">
        <f t="shared" si="36"/>
        <v>-596787</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600000</v>
      </c>
      <c r="C3221" s="5">
        <f t="shared" si="36"/>
        <v>-596784</v>
      </c>
      <c r="D3221" s="6"/>
    </row>
    <row r="3222" spans="1:4" x14ac:dyDescent="0.2">
      <c r="A3222" s="3">
        <v>3217</v>
      </c>
      <c r="D3222" s="6"/>
    </row>
    <row r="3223" spans="1:4" x14ac:dyDescent="0.2">
      <c r="A3223" s="3">
        <v>3218</v>
      </c>
      <c r="D3223" s="6" t="s">
        <v>299</v>
      </c>
    </row>
    <row r="3224" spans="1:4" x14ac:dyDescent="0.2">
      <c r="A3224" s="3">
        <v>3219</v>
      </c>
      <c r="D3224" s="6" t="s">
        <v>299</v>
      </c>
    </row>
    <row r="3225" spans="1:4" x14ac:dyDescent="0.2">
      <c r="A3225" s="3">
        <v>3220</v>
      </c>
      <c r="D3225" s="6" t="s">
        <v>299</v>
      </c>
    </row>
    <row r="3226" spans="1:4" x14ac:dyDescent="0.2">
      <c r="A3226" s="3">
        <v>3221</v>
      </c>
      <c r="D3226" s="6" t="s">
        <v>299</v>
      </c>
    </row>
    <row r="3227" spans="1:4" x14ac:dyDescent="0.2">
      <c r="A3227" s="3">
        <v>3222</v>
      </c>
      <c r="D3227" s="6" t="s">
        <v>299</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900000</v>
      </c>
      <c r="C3240" s="5">
        <f t="shared" si="36"/>
        <v>-896765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900000</v>
      </c>
      <c r="C3243" s="5">
        <f t="shared" si="36"/>
        <v>-896762</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4147137</v>
      </c>
      <c r="C3265" s="5">
        <f t="shared" si="36"/>
        <v>-4143877</v>
      </c>
      <c r="D3265" s="6"/>
    </row>
    <row r="3266" spans="1:4" x14ac:dyDescent="0.2">
      <c r="A3266" s="3">
        <v>3261</v>
      </c>
      <c r="D3266" s="6"/>
    </row>
    <row r="3267" spans="1:4" x14ac:dyDescent="0.2">
      <c r="A3267">
        <v>3262</v>
      </c>
      <c r="B3267" s="14">
        <f>'BudgetSum 2-4'!I81</f>
        <v>4147137</v>
      </c>
      <c r="C3267" s="5">
        <f t="shared" si="36"/>
        <v>-4143875</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12-20'!D8</f>
        <v>6991000</v>
      </c>
      <c r="C3310" s="5">
        <f t="shared" ref="C3310:C3335" si="37">A3310-B3310</f>
        <v>-6987695</v>
      </c>
      <c r="D3310" s="6"/>
    </row>
    <row r="3311" spans="1:4" x14ac:dyDescent="0.2">
      <c r="A3311">
        <v>3306</v>
      </c>
      <c r="B3311" s="14">
        <f>'EstExp 12-20'!D19</f>
        <v>600000</v>
      </c>
      <c r="C3311" s="5">
        <f t="shared" si="37"/>
        <v>-596694</v>
      </c>
      <c r="D3311" s="6"/>
    </row>
    <row r="3312" spans="1:4" x14ac:dyDescent="0.2">
      <c r="A3312">
        <v>3307</v>
      </c>
      <c r="B3312" s="14">
        <f>'EstExp 12-20'!E8</f>
        <v>672200</v>
      </c>
      <c r="C3312" s="5">
        <f t="shared" si="37"/>
        <v>-668893</v>
      </c>
      <c r="D3312" s="6"/>
    </row>
    <row r="3313" spans="1:4" x14ac:dyDescent="0.2">
      <c r="A3313">
        <v>3308</v>
      </c>
      <c r="B3313" s="14">
        <f>'EstExp 12-20'!E19</f>
        <v>77600</v>
      </c>
      <c r="C3313" s="5">
        <f t="shared" si="37"/>
        <v>-74292</v>
      </c>
      <c r="D3313" s="6"/>
    </row>
    <row r="3314" spans="1:4" x14ac:dyDescent="0.2">
      <c r="A3314">
        <v>3309</v>
      </c>
      <c r="B3314" s="14">
        <f>'EstExp 12-20'!F8</f>
        <v>467000</v>
      </c>
      <c r="C3314" s="5">
        <f t="shared" si="37"/>
        <v>-463691</v>
      </c>
      <c r="D3314" s="6"/>
    </row>
    <row r="3315" spans="1:4" x14ac:dyDescent="0.2">
      <c r="A3315">
        <v>3310</v>
      </c>
      <c r="B3315" s="14">
        <f>'EstExp 12-20'!F19</f>
        <v>23150</v>
      </c>
      <c r="C3315" s="5">
        <f t="shared" si="37"/>
        <v>-19840</v>
      </c>
      <c r="D3315" s="6"/>
    </row>
    <row r="3316" spans="1:4" x14ac:dyDescent="0.2">
      <c r="A3316">
        <v>3311</v>
      </c>
      <c r="B3316" s="14">
        <f>'EstExp 12-20'!G8</f>
        <v>88000</v>
      </c>
      <c r="C3316" s="5">
        <f t="shared" si="37"/>
        <v>-84689</v>
      </c>
      <c r="D3316" s="6"/>
    </row>
    <row r="3317" spans="1:4" x14ac:dyDescent="0.2">
      <c r="A3317">
        <v>3312</v>
      </c>
      <c r="B3317" s="14">
        <f>'EstExp 12-20'!G19</f>
        <v>3500</v>
      </c>
      <c r="C3317" s="5">
        <f t="shared" si="37"/>
        <v>-188</v>
      </c>
      <c r="D3317" s="6"/>
    </row>
    <row r="3318" spans="1:4" x14ac:dyDescent="0.2">
      <c r="A3318">
        <v>3313</v>
      </c>
      <c r="B3318" s="14">
        <f>'EstExp 12-20'!H8</f>
        <v>10000</v>
      </c>
      <c r="C3318" s="5">
        <f t="shared" si="37"/>
        <v>-6687</v>
      </c>
      <c r="D3318" s="6"/>
    </row>
    <row r="3319" spans="1:4" x14ac:dyDescent="0.2">
      <c r="A3319">
        <v>3314</v>
      </c>
      <c r="B3319" s="14">
        <f>'EstExp 12-20'!H19</f>
        <v>0</v>
      </c>
      <c r="C3319" s="5">
        <f t="shared" si="37"/>
        <v>3314</v>
      </c>
      <c r="D3319" s="6"/>
    </row>
    <row r="3320" spans="1:4" x14ac:dyDescent="0.2">
      <c r="A3320">
        <v>3315</v>
      </c>
      <c r="B3320" s="14">
        <f>'EstExp 12-20'!I8</f>
        <v>4400000</v>
      </c>
      <c r="C3320" s="5">
        <f t="shared" si="37"/>
        <v>-4396685</v>
      </c>
      <c r="D3320" s="6"/>
    </row>
    <row r="3321" spans="1:4" x14ac:dyDescent="0.2">
      <c r="A3321">
        <v>3316</v>
      </c>
      <c r="B3321" s="14">
        <f>'EstExp 12-20'!I19</f>
        <v>40000</v>
      </c>
      <c r="C3321" s="5">
        <f t="shared" si="37"/>
        <v>-36684</v>
      </c>
      <c r="D3321" s="6"/>
    </row>
    <row r="3322" spans="1:4" x14ac:dyDescent="0.2">
      <c r="A3322" s="3">
        <v>3317</v>
      </c>
      <c r="D3322" s="6" t="s">
        <v>299</v>
      </c>
    </row>
    <row r="3323" spans="1:4" x14ac:dyDescent="0.2">
      <c r="A3323" s="3">
        <v>3318</v>
      </c>
      <c r="D3323" s="6" t="s">
        <v>299</v>
      </c>
    </row>
    <row r="3324" spans="1:4" x14ac:dyDescent="0.2">
      <c r="A3324">
        <v>3319</v>
      </c>
      <c r="B3324" s="14">
        <f>'EstExp 12-20'!L8</f>
        <v>12628200</v>
      </c>
      <c r="C3324" s="5">
        <f t="shared" si="37"/>
        <v>-12624881</v>
      </c>
      <c r="D3324" s="6"/>
    </row>
    <row r="3325" spans="1:4" x14ac:dyDescent="0.2">
      <c r="A3325">
        <v>3320</v>
      </c>
      <c r="B3325" s="14">
        <f>'EstExp 12-20'!L19</f>
        <v>744250</v>
      </c>
      <c r="C3325" s="5">
        <f t="shared" si="37"/>
        <v>-740930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12-20'!E219</f>
        <v>3400000</v>
      </c>
      <c r="C3331" s="5">
        <f t="shared" si="37"/>
        <v>-3396674</v>
      </c>
      <c r="D3331" s="6"/>
    </row>
    <row r="3332" spans="1:4" x14ac:dyDescent="0.2">
      <c r="A3332">
        <v>3327</v>
      </c>
      <c r="B3332" s="14">
        <f>'EstExp 12-20'!E221</f>
        <v>0</v>
      </c>
      <c r="C3332" s="5">
        <f t="shared" si="37"/>
        <v>3327</v>
      </c>
      <c r="D3332" s="6"/>
    </row>
    <row r="3333" spans="1:4" x14ac:dyDescent="0.2">
      <c r="A3333">
        <v>3328</v>
      </c>
      <c r="B3333" s="14">
        <f>'EstExp 12-20'!E232</f>
        <v>0</v>
      </c>
      <c r="C3333" s="5">
        <f t="shared" si="37"/>
        <v>3328</v>
      </c>
      <c r="D3333" s="6"/>
    </row>
    <row r="3334" spans="1:4" x14ac:dyDescent="0.2">
      <c r="A3334">
        <v>3329</v>
      </c>
      <c r="B3334" s="14">
        <f>'EstExp 12-20'!L219</f>
        <v>3400000</v>
      </c>
      <c r="C3334" s="5">
        <f t="shared" si="37"/>
        <v>-3396671</v>
      </c>
      <c r="D3334" s="6"/>
    </row>
    <row r="3335" spans="1:4" x14ac:dyDescent="0.2">
      <c r="A3335">
        <v>3330</v>
      </c>
      <c r="B3335" s="14">
        <f>'EstExp 12-20'!L221</f>
        <v>0</v>
      </c>
      <c r="C3335" s="5">
        <f t="shared" si="37"/>
        <v>3330</v>
      </c>
      <c r="D3335" s="6"/>
    </row>
    <row r="3336" spans="1:4" x14ac:dyDescent="0.2">
      <c r="A3336">
        <v>3331</v>
      </c>
      <c r="B3336" s="14">
        <f>'EstExp 12-20'!L232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32938294</v>
      </c>
      <c r="C3355" s="5">
        <f t="shared" si="38"/>
        <v>-32934944</v>
      </c>
      <c r="D3355" s="6"/>
    </row>
    <row r="3356" spans="1:4" x14ac:dyDescent="0.2">
      <c r="A3356" s="3">
        <v>3351</v>
      </c>
      <c r="D3356" s="6"/>
    </row>
    <row r="3357" spans="1:4" x14ac:dyDescent="0.2">
      <c r="A3357" s="3">
        <v>3352</v>
      </c>
      <c r="D3357" s="6"/>
    </row>
    <row r="3358" spans="1:4" x14ac:dyDescent="0.2">
      <c r="A3358">
        <v>3353</v>
      </c>
      <c r="B3358" s="15">
        <f>'CashSum 5'!D3</f>
        <v>3359903</v>
      </c>
      <c r="C3358" s="5">
        <f t="shared" si="38"/>
        <v>-3356550</v>
      </c>
      <c r="D3358" s="6"/>
    </row>
    <row r="3359" spans="1:4" x14ac:dyDescent="0.2">
      <c r="A3359" s="3">
        <v>3354</v>
      </c>
      <c r="D3359" s="6"/>
    </row>
    <row r="3360" spans="1:4" x14ac:dyDescent="0.2">
      <c r="A3360" s="3">
        <v>3355</v>
      </c>
      <c r="D3360" s="6"/>
    </row>
    <row r="3361" spans="1:4" x14ac:dyDescent="0.2">
      <c r="A3361">
        <v>3356</v>
      </c>
      <c r="B3361" s="15">
        <f>'CashSum 5'!E3</f>
        <v>281114</v>
      </c>
      <c r="C3361" s="5">
        <f t="shared" si="38"/>
        <v>-277758</v>
      </c>
      <c r="D3361" s="6"/>
    </row>
    <row r="3362" spans="1:4" x14ac:dyDescent="0.2">
      <c r="A3362" s="3">
        <v>3357</v>
      </c>
      <c r="D3362" s="6"/>
    </row>
    <row r="3363" spans="1:4" x14ac:dyDescent="0.2">
      <c r="A3363">
        <v>3358</v>
      </c>
      <c r="B3363" s="15">
        <f>'CashSum 5'!F3</f>
        <v>2976087</v>
      </c>
      <c r="C3363" s="5">
        <f t="shared" si="38"/>
        <v>-2972729</v>
      </c>
      <c r="D3363" s="6"/>
    </row>
    <row r="3364" spans="1:4" x14ac:dyDescent="0.2">
      <c r="A3364" s="3">
        <v>3359</v>
      </c>
      <c r="D3364" s="6"/>
    </row>
    <row r="3365" spans="1:4" x14ac:dyDescent="0.2">
      <c r="A3365" s="3">
        <v>3360</v>
      </c>
      <c r="D3365" s="6"/>
    </row>
    <row r="3366" spans="1:4" x14ac:dyDescent="0.2">
      <c r="A3366">
        <v>3361</v>
      </c>
      <c r="B3366" s="15">
        <f>'CashSum 5'!G3</f>
        <v>1361568</v>
      </c>
      <c r="C3366" s="5">
        <f t="shared" si="38"/>
        <v>-1358207</v>
      </c>
      <c r="D3366" s="6"/>
    </row>
    <row r="3367" spans="1:4" x14ac:dyDescent="0.2">
      <c r="A3367" s="3">
        <v>3362</v>
      </c>
      <c r="D3367" s="6"/>
    </row>
    <row r="3368" spans="1:4" x14ac:dyDescent="0.2">
      <c r="A3368" s="3">
        <v>3363</v>
      </c>
      <c r="D3368" s="6"/>
    </row>
    <row r="3369" spans="1:4" x14ac:dyDescent="0.2">
      <c r="A3369">
        <v>3364</v>
      </c>
      <c r="B3369" s="15">
        <f>'CashSum 5'!H3</f>
        <v>2846831</v>
      </c>
      <c r="C3369" s="5">
        <f t="shared" si="38"/>
        <v>-2843467</v>
      </c>
      <c r="D3369" s="6"/>
    </row>
    <row r="3370" spans="1:4" x14ac:dyDescent="0.2">
      <c r="A3370" s="3">
        <v>3365</v>
      </c>
      <c r="D3370" s="6"/>
    </row>
    <row r="3371" spans="1:4" x14ac:dyDescent="0.2">
      <c r="A3371">
        <v>3366</v>
      </c>
      <c r="B3371" s="15">
        <f>'CashSum 5'!I3</f>
        <v>4297812</v>
      </c>
      <c r="C3371" s="5">
        <f t="shared" si="38"/>
        <v>-4294446</v>
      </c>
      <c r="D3371" s="6"/>
    </row>
    <row r="3372" spans="1:4" x14ac:dyDescent="0.2">
      <c r="A3372" s="3">
        <v>3367</v>
      </c>
      <c r="D3372" s="6"/>
    </row>
    <row r="3373" spans="1:4" x14ac:dyDescent="0.2">
      <c r="A3373" s="3">
        <v>3368</v>
      </c>
      <c r="D3373" s="7"/>
    </row>
    <row r="3374" spans="1:4" x14ac:dyDescent="0.2">
      <c r="A3374" s="3">
        <v>3369</v>
      </c>
      <c r="D3374" s="6" t="s">
        <v>299</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299</v>
      </c>
    </row>
    <row r="3387" spans="1:4" x14ac:dyDescent="0.2">
      <c r="A3387" s="3">
        <v>3382</v>
      </c>
      <c r="D3387" s="6" t="s">
        <v>299</v>
      </c>
    </row>
    <row r="3388" spans="1:4" x14ac:dyDescent="0.2">
      <c r="A3388" s="3">
        <v>3383</v>
      </c>
      <c r="D3388" s="6" t="s">
        <v>299</v>
      </c>
    </row>
    <row r="3389" spans="1:4" x14ac:dyDescent="0.2">
      <c r="A3389" s="3">
        <v>3384</v>
      </c>
      <c r="D3389" s="6" t="s">
        <v>299</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12-20'!D129</f>
        <v>0</v>
      </c>
      <c r="C3426" s="5">
        <f t="shared" ref="C3426:C3437" si="39">A3426-B3426</f>
        <v>3421</v>
      </c>
      <c r="D3426" s="6"/>
    </row>
    <row r="3427" spans="1:4" x14ac:dyDescent="0.2">
      <c r="A3427">
        <v>3422</v>
      </c>
      <c r="B3427" s="14">
        <f>'EstExp 12-20'!E129</f>
        <v>0</v>
      </c>
      <c r="C3427" s="5">
        <f t="shared" si="39"/>
        <v>3422</v>
      </c>
      <c r="D3427" s="6"/>
    </row>
    <row r="3428" spans="1:4" x14ac:dyDescent="0.2">
      <c r="A3428">
        <v>3423</v>
      </c>
      <c r="B3428" s="14">
        <f>'EstExp 12-20'!F129</f>
        <v>0</v>
      </c>
      <c r="C3428" s="5">
        <f t="shared" si="39"/>
        <v>3423</v>
      </c>
      <c r="D3428" s="6"/>
    </row>
    <row r="3429" spans="1:4" x14ac:dyDescent="0.2">
      <c r="A3429">
        <v>3424</v>
      </c>
      <c r="B3429" s="14">
        <f>'EstExp 12-20'!G129</f>
        <v>0</v>
      </c>
      <c r="C3429" s="5">
        <f t="shared" si="39"/>
        <v>3424</v>
      </c>
      <c r="D3429" s="6"/>
    </row>
    <row r="3430" spans="1:4" x14ac:dyDescent="0.2">
      <c r="A3430">
        <v>3425</v>
      </c>
      <c r="B3430" s="14">
        <f>'EstExp 12-20'!H129</f>
        <v>0</v>
      </c>
      <c r="C3430" s="5">
        <f t="shared" si="39"/>
        <v>3425</v>
      </c>
      <c r="D3430" s="6"/>
    </row>
    <row r="3431" spans="1:4" x14ac:dyDescent="0.2">
      <c r="A3431">
        <v>3426</v>
      </c>
      <c r="B3431" s="14">
        <f>'EstExp 12-20'!I129</f>
        <v>0</v>
      </c>
      <c r="C3431" s="5">
        <f t="shared" si="39"/>
        <v>3426</v>
      </c>
      <c r="D3431" s="6"/>
    </row>
    <row r="3432" spans="1:4" x14ac:dyDescent="0.2">
      <c r="A3432">
        <v>3427</v>
      </c>
      <c r="B3432" s="14">
        <f>'EstExp 12-20'!L129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299</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299</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299</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0</v>
      </c>
      <c r="C3490" s="5">
        <f t="shared" si="40"/>
        <v>3485</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299</v>
      </c>
    </row>
    <row r="3499" spans="1:4" x14ac:dyDescent="0.2">
      <c r="A3499" s="3">
        <v>3494</v>
      </c>
      <c r="D3499" s="6"/>
    </row>
    <row r="3500" spans="1:4" x14ac:dyDescent="0.2">
      <c r="A3500" s="3">
        <v>3495</v>
      </c>
      <c r="D3500" s="6" t="s">
        <v>299</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0</v>
      </c>
      <c r="C3513" s="5">
        <f t="shared" si="40"/>
        <v>3508</v>
      </c>
      <c r="D3513" s="6"/>
    </row>
    <row r="3514" spans="1:4" x14ac:dyDescent="0.2">
      <c r="A3514">
        <v>3509</v>
      </c>
      <c r="B3514" s="14">
        <f>'BudgetSum 2-4'!K7</f>
        <v>0</v>
      </c>
      <c r="C3514" s="5">
        <f t="shared" si="40"/>
        <v>3509</v>
      </c>
      <c r="D3514" s="6"/>
    </row>
    <row r="3515" spans="1:4" x14ac:dyDescent="0.2">
      <c r="A3515">
        <v>3510</v>
      </c>
      <c r="B3515" s="14">
        <f>'BudgetSum 2-4'!K9</f>
        <v>0</v>
      </c>
      <c r="C3515" s="5">
        <f t="shared" si="40"/>
        <v>3510</v>
      </c>
      <c r="D3515" s="6"/>
    </row>
    <row r="3516" spans="1:4" x14ac:dyDescent="0.2">
      <c r="A3516">
        <v>3511</v>
      </c>
      <c r="B3516" s="14">
        <f>'BudgetSum 2-4'!K14</f>
        <v>0</v>
      </c>
      <c r="C3516" s="5">
        <f t="shared" si="40"/>
        <v>3511</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0</v>
      </c>
      <c r="C3519" s="5">
        <f t="shared" si="40"/>
        <v>3514</v>
      </c>
      <c r="D3519" s="6"/>
    </row>
    <row r="3520" spans="1:4" x14ac:dyDescent="0.2">
      <c r="A3520">
        <v>3515</v>
      </c>
      <c r="B3520" s="14">
        <f>'BudgetSum 2-4'!K22</f>
        <v>0</v>
      </c>
      <c r="C3520" s="5">
        <f t="shared" si="40"/>
        <v>3515</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0</v>
      </c>
      <c r="C3533" s="5">
        <f t="shared" si="41"/>
        <v>3528</v>
      </c>
      <c r="D3533" s="6"/>
    </row>
    <row r="3534" spans="1:4" x14ac:dyDescent="0.2">
      <c r="A3534" s="3">
        <v>3529</v>
      </c>
      <c r="D3534" s="6"/>
    </row>
    <row r="3535" spans="1:4" x14ac:dyDescent="0.2">
      <c r="A3535">
        <v>3530</v>
      </c>
      <c r="B3535" s="14">
        <f>'BudgetSum 2-4'!K81</f>
        <v>0</v>
      </c>
      <c r="C3535" s="5">
        <f t="shared" si="41"/>
        <v>3530</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12-20'!D434</f>
        <v>0</v>
      </c>
      <c r="C3561" s="5">
        <f t="shared" si="41"/>
        <v>3556</v>
      </c>
      <c r="D3561" s="6"/>
    </row>
    <row r="3562" spans="1:4" x14ac:dyDescent="0.2">
      <c r="A3562">
        <v>3557</v>
      </c>
      <c r="B3562" s="14">
        <f>'EstExp 12-20'!D435</f>
        <v>0</v>
      </c>
      <c r="C3562" s="5">
        <f t="shared" si="41"/>
        <v>3557</v>
      </c>
      <c r="D3562" s="6"/>
    </row>
    <row r="3563" spans="1:4" x14ac:dyDescent="0.2">
      <c r="A3563">
        <v>3558</v>
      </c>
      <c r="B3563" s="14">
        <f>'EstExp 12-20'!D436</f>
        <v>0</v>
      </c>
      <c r="C3563" s="5">
        <f t="shared" si="41"/>
        <v>3558</v>
      </c>
      <c r="D3563" s="6"/>
    </row>
    <row r="3564" spans="1:4" x14ac:dyDescent="0.2">
      <c r="A3564">
        <v>3559</v>
      </c>
      <c r="B3564" s="14">
        <f>'EstExp 12-20'!D437</f>
        <v>0</v>
      </c>
      <c r="C3564" s="5">
        <f t="shared" si="41"/>
        <v>3559</v>
      </c>
      <c r="D3564" s="6"/>
    </row>
    <row r="3565" spans="1:4" x14ac:dyDescent="0.2">
      <c r="A3565">
        <v>3560</v>
      </c>
      <c r="B3565" s="14">
        <f>'EstExp 12-20'!D438</f>
        <v>0</v>
      </c>
      <c r="C3565" s="5">
        <f t="shared" si="41"/>
        <v>3560</v>
      </c>
      <c r="D3565" s="6"/>
    </row>
    <row r="3566" spans="1:4" x14ac:dyDescent="0.2">
      <c r="A3566">
        <v>3561</v>
      </c>
      <c r="B3566" s="14">
        <f>'EstExp 12-20'!D453</f>
        <v>0</v>
      </c>
      <c r="C3566" s="5">
        <f t="shared" si="41"/>
        <v>3561</v>
      </c>
      <c r="D3566" s="6"/>
    </row>
    <row r="3567" spans="1:4" x14ac:dyDescent="0.2">
      <c r="A3567" s="3">
        <v>3562</v>
      </c>
      <c r="D3567" s="7"/>
    </row>
    <row r="3568" spans="1:4" x14ac:dyDescent="0.2">
      <c r="A3568">
        <v>3563</v>
      </c>
      <c r="B3568" s="14">
        <f>'EstExp 12-20'!E434</f>
        <v>0</v>
      </c>
      <c r="C3568" s="5">
        <f t="shared" si="41"/>
        <v>3563</v>
      </c>
      <c r="D3568" s="6"/>
    </row>
    <row r="3569" spans="1:4" x14ac:dyDescent="0.2">
      <c r="A3569">
        <v>3564</v>
      </c>
      <c r="B3569" s="14">
        <f>'EstExp 12-20'!E435</f>
        <v>0</v>
      </c>
      <c r="C3569" s="5">
        <f t="shared" si="41"/>
        <v>3564</v>
      </c>
      <c r="D3569" s="6"/>
    </row>
    <row r="3570" spans="1:4" x14ac:dyDescent="0.2">
      <c r="A3570">
        <v>3565</v>
      </c>
      <c r="B3570" s="14">
        <f>'EstExp 12-20'!E436</f>
        <v>0</v>
      </c>
      <c r="C3570" s="5">
        <f t="shared" si="41"/>
        <v>3565</v>
      </c>
      <c r="D3570" s="6"/>
    </row>
    <row r="3571" spans="1:4" x14ac:dyDescent="0.2">
      <c r="A3571">
        <v>3566</v>
      </c>
      <c r="B3571" s="14">
        <f>'EstExp 12-20'!E437</f>
        <v>0</v>
      </c>
      <c r="C3571" s="5">
        <f t="shared" si="41"/>
        <v>3566</v>
      </c>
      <c r="D3571" s="6"/>
    </row>
    <row r="3572" spans="1:4" x14ac:dyDescent="0.2">
      <c r="A3572">
        <v>3567</v>
      </c>
      <c r="B3572" s="14">
        <f>'EstExp 12-20'!E438</f>
        <v>0</v>
      </c>
      <c r="C3572" s="5">
        <f t="shared" si="41"/>
        <v>3567</v>
      </c>
      <c r="D3572" s="6"/>
    </row>
    <row r="3573" spans="1:4" x14ac:dyDescent="0.2">
      <c r="A3573">
        <v>3568</v>
      </c>
      <c r="B3573" s="14">
        <f>'EstExp 12-20'!E453</f>
        <v>0</v>
      </c>
      <c r="C3573" s="5">
        <f t="shared" si="41"/>
        <v>3568</v>
      </c>
      <c r="D3573" s="6"/>
    </row>
    <row r="3574" spans="1:4" x14ac:dyDescent="0.2">
      <c r="A3574" s="3">
        <v>3569</v>
      </c>
      <c r="D3574" s="7"/>
    </row>
    <row r="3575" spans="1:4" x14ac:dyDescent="0.2">
      <c r="A3575">
        <v>3570</v>
      </c>
      <c r="B3575" s="14">
        <f>'EstExp 12-20'!F434</f>
        <v>0</v>
      </c>
      <c r="C3575" s="5">
        <f t="shared" si="41"/>
        <v>3570</v>
      </c>
      <c r="D3575" s="6"/>
    </row>
    <row r="3576" spans="1:4" x14ac:dyDescent="0.2">
      <c r="A3576">
        <v>3571</v>
      </c>
      <c r="B3576" s="14">
        <f>'EstExp 12-20'!F435</f>
        <v>0</v>
      </c>
      <c r="C3576" s="5">
        <f t="shared" si="41"/>
        <v>3571</v>
      </c>
      <c r="D3576" s="6"/>
    </row>
    <row r="3577" spans="1:4" x14ac:dyDescent="0.2">
      <c r="A3577">
        <v>3572</v>
      </c>
      <c r="B3577" s="14">
        <f>'EstExp 12-20'!F436</f>
        <v>0</v>
      </c>
      <c r="C3577" s="5">
        <f t="shared" si="41"/>
        <v>3572</v>
      </c>
      <c r="D3577" s="6"/>
    </row>
    <row r="3578" spans="1:4" x14ac:dyDescent="0.2">
      <c r="A3578">
        <v>3573</v>
      </c>
      <c r="B3578" s="14">
        <f>'EstExp 12-20'!F437</f>
        <v>0</v>
      </c>
      <c r="C3578" s="5">
        <f t="shared" si="41"/>
        <v>3573</v>
      </c>
      <c r="D3578" s="6"/>
    </row>
    <row r="3579" spans="1:4" x14ac:dyDescent="0.2">
      <c r="A3579">
        <v>3574</v>
      </c>
      <c r="B3579" s="14">
        <f>'EstExp 12-20'!F438</f>
        <v>0</v>
      </c>
      <c r="C3579" s="5">
        <f t="shared" si="41"/>
        <v>3574</v>
      </c>
      <c r="D3579" s="6"/>
    </row>
    <row r="3580" spans="1:4" x14ac:dyDescent="0.2">
      <c r="A3580">
        <v>3575</v>
      </c>
      <c r="B3580" s="14">
        <f>'EstExp 12-20'!F453</f>
        <v>0</v>
      </c>
      <c r="C3580" s="5">
        <f t="shared" si="41"/>
        <v>3575</v>
      </c>
      <c r="D3580" s="6"/>
    </row>
    <row r="3581" spans="1:4" x14ac:dyDescent="0.2">
      <c r="A3581" s="3">
        <v>3576</v>
      </c>
      <c r="D3581" s="7"/>
    </row>
    <row r="3582" spans="1:4" x14ac:dyDescent="0.2">
      <c r="A3582">
        <v>3577</v>
      </c>
      <c r="B3582" s="14">
        <f>'EstExp 12-20'!G434</f>
        <v>0</v>
      </c>
      <c r="C3582" s="5">
        <f t="shared" si="41"/>
        <v>3577</v>
      </c>
      <c r="D3582" s="6"/>
    </row>
    <row r="3583" spans="1:4" x14ac:dyDescent="0.2">
      <c r="A3583">
        <v>3578</v>
      </c>
      <c r="B3583" s="14">
        <f>'EstExp 12-20'!G435</f>
        <v>0</v>
      </c>
      <c r="C3583" s="5">
        <f t="shared" si="41"/>
        <v>3578</v>
      </c>
      <c r="D3583" s="6"/>
    </row>
    <row r="3584" spans="1:4" x14ac:dyDescent="0.2">
      <c r="A3584">
        <v>3579</v>
      </c>
      <c r="B3584" s="14">
        <f>'EstExp 12-20'!G436</f>
        <v>0</v>
      </c>
      <c r="C3584" s="5">
        <f t="shared" si="41"/>
        <v>3579</v>
      </c>
      <c r="D3584" s="6"/>
    </row>
    <row r="3585" spans="1:4" x14ac:dyDescent="0.2">
      <c r="A3585">
        <v>3580</v>
      </c>
      <c r="B3585" s="14">
        <f>'EstExp 12-20'!G437</f>
        <v>0</v>
      </c>
      <c r="C3585" s="5">
        <f t="shared" si="41"/>
        <v>3580</v>
      </c>
      <c r="D3585" s="6"/>
    </row>
    <row r="3586" spans="1:4" x14ac:dyDescent="0.2">
      <c r="A3586">
        <v>3581</v>
      </c>
      <c r="B3586" s="14">
        <f>'EstExp 12-20'!G438</f>
        <v>0</v>
      </c>
      <c r="C3586" s="5">
        <f t="shared" si="41"/>
        <v>3581</v>
      </c>
      <c r="D3586" s="6"/>
    </row>
    <row r="3587" spans="1:4" x14ac:dyDescent="0.2">
      <c r="A3587">
        <v>3582</v>
      </c>
      <c r="B3587" s="14">
        <f>'EstExp 12-20'!G453</f>
        <v>0</v>
      </c>
      <c r="C3587" s="5">
        <f t="shared" si="41"/>
        <v>3582</v>
      </c>
      <c r="D3587" s="6"/>
    </row>
    <row r="3588" spans="1:4" x14ac:dyDescent="0.2">
      <c r="A3588" s="3">
        <v>3583</v>
      </c>
      <c r="D3588" s="7"/>
    </row>
    <row r="3589" spans="1:4" x14ac:dyDescent="0.2">
      <c r="A3589">
        <v>3584</v>
      </c>
      <c r="B3589" s="14">
        <f>'EstExp 12-20'!H434</f>
        <v>0</v>
      </c>
      <c r="C3589" s="5">
        <f t="shared" si="41"/>
        <v>3584</v>
      </c>
      <c r="D3589" s="6"/>
    </row>
    <row r="3590" spans="1:4" x14ac:dyDescent="0.2">
      <c r="A3590">
        <v>3585</v>
      </c>
      <c r="B3590" s="14">
        <f>'EstExp 12-20'!H435</f>
        <v>0</v>
      </c>
      <c r="C3590" s="5">
        <f t="shared" si="41"/>
        <v>3585</v>
      </c>
      <c r="D3590" s="6"/>
    </row>
    <row r="3591" spans="1:4" x14ac:dyDescent="0.2">
      <c r="A3591">
        <v>3586</v>
      </c>
      <c r="B3591" s="14">
        <f>'EstExp 12-20'!H436</f>
        <v>0</v>
      </c>
      <c r="C3591" s="5">
        <f t="shared" si="41"/>
        <v>3586</v>
      </c>
      <c r="D3591" s="6"/>
    </row>
    <row r="3592" spans="1:4" x14ac:dyDescent="0.2">
      <c r="A3592">
        <v>3587</v>
      </c>
      <c r="B3592" s="14">
        <f>'EstExp 12-20'!H437</f>
        <v>0</v>
      </c>
      <c r="C3592" s="5">
        <f t="shared" ref="C3592:C3647" si="42">A3592-B3592</f>
        <v>3587</v>
      </c>
      <c r="D3592" s="6"/>
    </row>
    <row r="3593" spans="1:4" x14ac:dyDescent="0.2">
      <c r="A3593">
        <v>3588</v>
      </c>
      <c r="B3593" s="14">
        <f>'EstExp 12-20'!H438</f>
        <v>0</v>
      </c>
      <c r="C3593" s="5">
        <f t="shared" si="42"/>
        <v>3588</v>
      </c>
      <c r="D3593" s="6"/>
    </row>
    <row r="3594" spans="1:4" x14ac:dyDescent="0.2">
      <c r="A3594">
        <v>3589</v>
      </c>
      <c r="B3594" s="14">
        <f>'EstExp 12-20'!H453</f>
        <v>0</v>
      </c>
      <c r="C3594" s="5">
        <f t="shared" si="42"/>
        <v>3589</v>
      </c>
      <c r="D3594" s="6"/>
    </row>
    <row r="3595" spans="1:4" x14ac:dyDescent="0.2">
      <c r="A3595" s="3">
        <v>3590</v>
      </c>
      <c r="D3595" s="7"/>
    </row>
    <row r="3596" spans="1:4" x14ac:dyDescent="0.2">
      <c r="A3596">
        <v>3591</v>
      </c>
      <c r="B3596" s="14">
        <f>'EstExp 12-20'!I434</f>
        <v>0</v>
      </c>
      <c r="C3596" s="5">
        <f t="shared" si="42"/>
        <v>3591</v>
      </c>
      <c r="D3596" s="6"/>
    </row>
    <row r="3597" spans="1:4" x14ac:dyDescent="0.2">
      <c r="A3597">
        <v>3592</v>
      </c>
      <c r="B3597" s="14">
        <f>'EstExp 12-20'!I435</f>
        <v>0</v>
      </c>
      <c r="C3597" s="5">
        <f t="shared" si="42"/>
        <v>3592</v>
      </c>
      <c r="D3597" s="6"/>
    </row>
    <row r="3598" spans="1:4" x14ac:dyDescent="0.2">
      <c r="A3598">
        <v>3593</v>
      </c>
      <c r="B3598" s="14">
        <f>'EstExp 12-20'!I436</f>
        <v>0</v>
      </c>
      <c r="C3598" s="5">
        <f t="shared" si="42"/>
        <v>3593</v>
      </c>
      <c r="D3598" s="6"/>
    </row>
    <row r="3599" spans="1:4" x14ac:dyDescent="0.2">
      <c r="A3599">
        <v>3594</v>
      </c>
      <c r="B3599" s="14">
        <f>'EstExp 12-20'!I437</f>
        <v>0</v>
      </c>
      <c r="C3599" s="5">
        <f t="shared" si="42"/>
        <v>3594</v>
      </c>
      <c r="D3599" s="6"/>
    </row>
    <row r="3600" spans="1:4" x14ac:dyDescent="0.2">
      <c r="A3600">
        <v>3595</v>
      </c>
      <c r="B3600" s="14">
        <f>'EstExp 12-20'!I438</f>
        <v>0</v>
      </c>
      <c r="C3600" s="5">
        <f t="shared" si="42"/>
        <v>3595</v>
      </c>
      <c r="D3600" s="6"/>
    </row>
    <row r="3601" spans="1:4" x14ac:dyDescent="0.2">
      <c r="A3601">
        <v>3596</v>
      </c>
      <c r="B3601" s="14">
        <f>'EstExp 12-20'!I446</f>
        <v>0</v>
      </c>
      <c r="C3601" s="5">
        <f t="shared" si="42"/>
        <v>3596</v>
      </c>
      <c r="D3601" s="6"/>
    </row>
    <row r="3602" spans="1:4" x14ac:dyDescent="0.2">
      <c r="A3602">
        <v>3597</v>
      </c>
      <c r="B3602" s="14">
        <f>'EstExp 12-20'!I451</f>
        <v>0</v>
      </c>
      <c r="C3602" s="5">
        <f t="shared" si="42"/>
        <v>3597</v>
      </c>
      <c r="D3602" s="6"/>
    </row>
    <row r="3603" spans="1:4" x14ac:dyDescent="0.2">
      <c r="A3603" s="3">
        <v>3598</v>
      </c>
      <c r="D3603" s="7"/>
    </row>
    <row r="3604" spans="1:4" x14ac:dyDescent="0.2">
      <c r="A3604">
        <v>3599</v>
      </c>
      <c r="B3604" s="14">
        <f>'EstExp 12-20'!I453</f>
        <v>0</v>
      </c>
      <c r="C3604" s="5">
        <f t="shared" si="42"/>
        <v>3599</v>
      </c>
      <c r="D3604" s="6"/>
    </row>
    <row r="3605" spans="1:4" x14ac:dyDescent="0.2">
      <c r="A3605" s="3">
        <v>3600</v>
      </c>
      <c r="D3605" s="8"/>
    </row>
    <row r="3606" spans="1:4" x14ac:dyDescent="0.2">
      <c r="A3606" s="4">
        <v>3601</v>
      </c>
      <c r="B3606" s="15">
        <f>'EstExp 12-20'!I442</f>
        <v>0</v>
      </c>
      <c r="C3606" s="5">
        <f t="shared" si="42"/>
        <v>3601</v>
      </c>
      <c r="D3606" s="6" t="s">
        <v>299</v>
      </c>
    </row>
    <row r="3607" spans="1:4" x14ac:dyDescent="0.2">
      <c r="A3607" s="4">
        <v>3602</v>
      </c>
      <c r="B3607" s="15">
        <f>'EstExp 12-20'!I443</f>
        <v>0</v>
      </c>
      <c r="C3607" s="5">
        <f t="shared" si="42"/>
        <v>3602</v>
      </c>
      <c r="D3607" s="9" t="s">
        <v>299</v>
      </c>
    </row>
    <row r="3608" spans="1:4" x14ac:dyDescent="0.2">
      <c r="A3608" s="3">
        <v>3603</v>
      </c>
      <c r="D3608" s="6" t="s">
        <v>299</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12-20'!L434</f>
        <v>0</v>
      </c>
      <c r="C3612" s="5">
        <f t="shared" si="42"/>
        <v>3607</v>
      </c>
      <c r="D3612" s="6"/>
    </row>
    <row r="3613" spans="1:4" x14ac:dyDescent="0.2">
      <c r="A3613">
        <v>3608</v>
      </c>
      <c r="B3613" s="14">
        <f>'EstExp 12-20'!L435</f>
        <v>0</v>
      </c>
      <c r="C3613" s="5">
        <f t="shared" si="42"/>
        <v>3608</v>
      </c>
      <c r="D3613" s="6"/>
    </row>
    <row r="3614" spans="1:4" x14ac:dyDescent="0.2">
      <c r="A3614">
        <v>3609</v>
      </c>
      <c r="B3614" s="14">
        <f>'EstExp 12-20'!L436</f>
        <v>0</v>
      </c>
      <c r="C3614" s="5">
        <f t="shared" si="42"/>
        <v>3609</v>
      </c>
      <c r="D3614" s="6"/>
    </row>
    <row r="3615" spans="1:4" x14ac:dyDescent="0.2">
      <c r="A3615">
        <v>3610</v>
      </c>
      <c r="B3615" s="14">
        <f>'EstExp 12-20'!L437</f>
        <v>0</v>
      </c>
      <c r="C3615" s="5">
        <f t="shared" si="42"/>
        <v>3610</v>
      </c>
      <c r="D3615" s="6"/>
    </row>
    <row r="3616" spans="1:4" x14ac:dyDescent="0.2">
      <c r="A3616">
        <v>3611</v>
      </c>
      <c r="B3616" s="14">
        <f>'EstExp 12-20'!L438</f>
        <v>0</v>
      </c>
      <c r="C3616" s="5">
        <f t="shared" si="42"/>
        <v>3611</v>
      </c>
      <c r="D3616" s="6"/>
    </row>
    <row r="3617" spans="1:4" x14ac:dyDescent="0.2">
      <c r="A3617">
        <v>3612</v>
      </c>
      <c r="B3617" s="14">
        <f>'EstExp 12-20'!L442</f>
        <v>0</v>
      </c>
      <c r="C3617" s="5">
        <f t="shared" si="42"/>
        <v>3612</v>
      </c>
      <c r="D3617" s="6"/>
    </row>
    <row r="3618" spans="1:4" x14ac:dyDescent="0.2">
      <c r="A3618">
        <v>3613</v>
      </c>
      <c r="B3618" s="14">
        <f>'EstExp 12-20'!L443</f>
        <v>0</v>
      </c>
      <c r="C3618" s="5">
        <f t="shared" si="42"/>
        <v>3613</v>
      </c>
      <c r="D3618" s="6"/>
    </row>
    <row r="3619" spans="1:4" x14ac:dyDescent="0.2">
      <c r="A3619">
        <v>3614</v>
      </c>
      <c r="B3619" s="14">
        <f>'EstExp 12-20'!L446</f>
        <v>0</v>
      </c>
      <c r="C3619" s="5">
        <f t="shared" si="42"/>
        <v>3614</v>
      </c>
      <c r="D3619" s="6"/>
    </row>
    <row r="3620" spans="1:4" x14ac:dyDescent="0.2">
      <c r="A3620">
        <v>3615</v>
      </c>
      <c r="B3620" s="14">
        <f>'EstExp 12-20'!L451</f>
        <v>0</v>
      </c>
      <c r="C3620" s="5">
        <f t="shared" si="42"/>
        <v>3615</v>
      </c>
      <c r="D3620" s="6"/>
    </row>
    <row r="3621" spans="1:4" x14ac:dyDescent="0.2">
      <c r="A3621" s="3">
        <v>3616</v>
      </c>
      <c r="D3621" s="7"/>
    </row>
    <row r="3622" spans="1:4" x14ac:dyDescent="0.2">
      <c r="A3622">
        <v>3617</v>
      </c>
      <c r="B3622" s="14">
        <f>'EstExp 12-20'!L453</f>
        <v>0</v>
      </c>
      <c r="C3622" s="5">
        <f t="shared" si="42"/>
        <v>3617</v>
      </c>
      <c r="D3622" s="6"/>
    </row>
    <row r="3623" spans="1:4" x14ac:dyDescent="0.2">
      <c r="A3623" s="3">
        <v>3618</v>
      </c>
      <c r="D3623" s="7"/>
    </row>
    <row r="3624" spans="1:4" x14ac:dyDescent="0.2">
      <c r="A3624" s="3">
        <v>3619</v>
      </c>
      <c r="D3624" s="7"/>
    </row>
    <row r="3625" spans="1:4" x14ac:dyDescent="0.2">
      <c r="A3625">
        <v>3620</v>
      </c>
      <c r="B3625" s="14">
        <f>'EstExp 12-20'!L454</f>
        <v>0</v>
      </c>
      <c r="C3625" s="5">
        <f t="shared" si="42"/>
        <v>3620</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299</v>
      </c>
    </row>
    <row r="3661" spans="1:4" x14ac:dyDescent="0.2">
      <c r="A3661">
        <v>3656</v>
      </c>
      <c r="B3661" s="14">
        <f>'EstExp 12-20'!L306</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12-20'!E280</f>
        <v>0</v>
      </c>
      <c r="C3665" s="5">
        <f t="shared" si="43"/>
        <v>3660</v>
      </c>
      <c r="D3665" s="6"/>
    </row>
    <row r="3666" spans="1:4" x14ac:dyDescent="0.2">
      <c r="A3666">
        <v>3661</v>
      </c>
      <c r="B3666" s="14">
        <f>'EstExp 12-20'!E282</f>
        <v>0</v>
      </c>
      <c r="C3666" s="5">
        <f t="shared" si="43"/>
        <v>3661</v>
      </c>
      <c r="D3666" s="6"/>
    </row>
    <row r="3667" spans="1:4" x14ac:dyDescent="0.2">
      <c r="A3667">
        <v>3662</v>
      </c>
      <c r="B3667" s="14">
        <f>'EstExp 12-20'!L280</f>
        <v>0</v>
      </c>
      <c r="C3667" s="5">
        <f t="shared" si="43"/>
        <v>3662</v>
      </c>
      <c r="D3667" s="6"/>
    </row>
    <row r="3668" spans="1:4" x14ac:dyDescent="0.2">
      <c r="A3668">
        <v>3663</v>
      </c>
      <c r="B3668" s="14">
        <f>'EstExp 12-20'!L282</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12-20'!D124</f>
        <v>0</v>
      </c>
      <c r="C4018" s="5">
        <f t="shared" ref="C4018:C4031" si="44">A4018-B4018</f>
        <v>4013</v>
      </c>
      <c r="D4018" s="6"/>
    </row>
    <row r="4019" spans="1:4" x14ac:dyDescent="0.2">
      <c r="A4019">
        <v>4014</v>
      </c>
      <c r="B4019" s="14">
        <f>'EstExp 12-20'!E124</f>
        <v>0</v>
      </c>
      <c r="C4019" s="5">
        <f t="shared" si="44"/>
        <v>4014</v>
      </c>
      <c r="D4019" s="6"/>
    </row>
    <row r="4020" spans="1:4" x14ac:dyDescent="0.2">
      <c r="A4020">
        <v>4015</v>
      </c>
      <c r="B4020" s="14">
        <f>'EstExp 12-20'!F124</f>
        <v>0</v>
      </c>
      <c r="C4020" s="5">
        <f t="shared" si="44"/>
        <v>4015</v>
      </c>
      <c r="D4020" s="6"/>
    </row>
    <row r="4021" spans="1:4" x14ac:dyDescent="0.2">
      <c r="A4021">
        <v>4016</v>
      </c>
      <c r="B4021" s="14">
        <f>'EstExp 12-20'!G124</f>
        <v>0</v>
      </c>
      <c r="C4021" s="5">
        <f t="shared" si="44"/>
        <v>4016</v>
      </c>
      <c r="D4021" s="6"/>
    </row>
    <row r="4022" spans="1:4" x14ac:dyDescent="0.2">
      <c r="A4022">
        <v>4017</v>
      </c>
      <c r="B4022" s="14">
        <f>'EstExp 12-20'!H124</f>
        <v>0</v>
      </c>
      <c r="C4022" s="5">
        <f t="shared" si="44"/>
        <v>4017</v>
      </c>
      <c r="D4022" s="6"/>
    </row>
    <row r="4023" spans="1:4" x14ac:dyDescent="0.2">
      <c r="A4023">
        <v>4018</v>
      </c>
      <c r="B4023" s="14">
        <f>'EstExp 12-20'!I124</f>
        <v>0</v>
      </c>
      <c r="C4023" s="5">
        <f t="shared" si="44"/>
        <v>4018</v>
      </c>
      <c r="D4023" s="6"/>
    </row>
    <row r="4024" spans="1:4" x14ac:dyDescent="0.2">
      <c r="A4024">
        <v>4019</v>
      </c>
      <c r="B4024" s="14">
        <f>'EstExp 12-20'!L124</f>
        <v>0</v>
      </c>
      <c r="C4024" s="5">
        <f t="shared" si="44"/>
        <v>4019</v>
      </c>
      <c r="D4024" s="6"/>
    </row>
    <row r="4025" spans="1:4" x14ac:dyDescent="0.2">
      <c r="A4025">
        <v>4020</v>
      </c>
      <c r="B4025" s="14">
        <f>'EstExp 12-20'!D184</f>
        <v>0</v>
      </c>
      <c r="C4025" s="5">
        <f t="shared" si="44"/>
        <v>4020</v>
      </c>
      <c r="D4025" s="6"/>
    </row>
    <row r="4026" spans="1:4" x14ac:dyDescent="0.2">
      <c r="A4026">
        <v>4021</v>
      </c>
      <c r="B4026" s="14">
        <f>'EstExp 12-20'!E184</f>
        <v>0</v>
      </c>
      <c r="C4026" s="5">
        <f t="shared" si="44"/>
        <v>4021</v>
      </c>
      <c r="D4026" s="6"/>
    </row>
    <row r="4027" spans="1:4" x14ac:dyDescent="0.2">
      <c r="A4027">
        <v>4022</v>
      </c>
      <c r="B4027" s="14">
        <f>'EstExp 12-20'!F184</f>
        <v>0</v>
      </c>
      <c r="C4027" s="5">
        <f t="shared" si="44"/>
        <v>4022</v>
      </c>
      <c r="D4027" s="6"/>
    </row>
    <row r="4028" spans="1:4" x14ac:dyDescent="0.2">
      <c r="A4028">
        <v>4023</v>
      </c>
      <c r="B4028" s="14">
        <f>'EstExp 12-20'!G184</f>
        <v>0</v>
      </c>
      <c r="C4028" s="5">
        <f t="shared" si="44"/>
        <v>4023</v>
      </c>
      <c r="D4028" s="6"/>
    </row>
    <row r="4029" spans="1:4" x14ac:dyDescent="0.2">
      <c r="A4029">
        <v>4024</v>
      </c>
      <c r="B4029" s="14">
        <f>'EstExp 12-20'!H184</f>
        <v>0</v>
      </c>
      <c r="C4029" s="5">
        <f t="shared" si="44"/>
        <v>4024</v>
      </c>
      <c r="D4029" s="6"/>
    </row>
    <row r="4030" spans="1:4" x14ac:dyDescent="0.2">
      <c r="A4030">
        <v>4025</v>
      </c>
      <c r="B4030" s="14">
        <f>'EstExp 12-20'!I184</f>
        <v>0</v>
      </c>
      <c r="C4030" s="5">
        <f t="shared" si="44"/>
        <v>4025</v>
      </c>
      <c r="D4030" s="6"/>
    </row>
    <row r="4031" spans="1:4" x14ac:dyDescent="0.2">
      <c r="A4031">
        <v>4026</v>
      </c>
      <c r="B4031" s="14">
        <f>'EstExp 12-20'!L184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299</v>
      </c>
    </row>
    <row r="4041" spans="1:4" x14ac:dyDescent="0.2">
      <c r="A4041" s="3">
        <v>4036</v>
      </c>
      <c r="D4041" s="6" t="s">
        <v>299</v>
      </c>
    </row>
    <row r="4042" spans="1:4" x14ac:dyDescent="0.2">
      <c r="A4042" s="3">
        <v>4037</v>
      </c>
      <c r="D4042" s="6" t="s">
        <v>299</v>
      </c>
    </row>
    <row r="4043" spans="1:4" x14ac:dyDescent="0.2">
      <c r="A4043">
        <v>4038</v>
      </c>
      <c r="B4043" s="14">
        <f>'EstExp 12-20'!L304</f>
        <v>0</v>
      </c>
      <c r="C4043" s="5">
        <f t="shared" ref="C4043:C4101" si="45">A4043-B4043</f>
        <v>4038</v>
      </c>
      <c r="D4043" s="6"/>
    </row>
    <row r="4044" spans="1:4" x14ac:dyDescent="0.2">
      <c r="A4044">
        <v>4039</v>
      </c>
      <c r="B4044" s="14">
        <f>'EstExp 12-20'!L305</f>
        <v>0</v>
      </c>
      <c r="C4044" s="5">
        <f t="shared" si="45"/>
        <v>4039</v>
      </c>
      <c r="D4044" s="6"/>
    </row>
    <row r="4045" spans="1:4" x14ac:dyDescent="0.2">
      <c r="A4045" s="3">
        <v>4040</v>
      </c>
      <c r="D4045" s="6" t="s">
        <v>163</v>
      </c>
    </row>
    <row r="4046" spans="1:4" x14ac:dyDescent="0.2">
      <c r="A4046" s="13">
        <v>4041</v>
      </c>
      <c r="D4046" s="12" t="s">
        <v>299</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79244000</v>
      </c>
      <c r="C4066" s="5">
        <f t="shared" si="45"/>
        <v>-79239939</v>
      </c>
      <c r="D4066" s="6"/>
    </row>
    <row r="4067" spans="1:4" x14ac:dyDescent="0.2">
      <c r="A4067">
        <v>4062</v>
      </c>
      <c r="B4067" s="14">
        <f>'BudgetSum 2-4'!D11</f>
        <v>8220000</v>
      </c>
      <c r="C4067" s="5">
        <f t="shared" si="45"/>
        <v>-8215938</v>
      </c>
      <c r="D4067" s="6"/>
    </row>
    <row r="4068" spans="1:4" x14ac:dyDescent="0.2">
      <c r="A4068">
        <v>4063</v>
      </c>
      <c r="B4068" s="14">
        <f>'BudgetSum 2-4'!E11</f>
        <v>3619000</v>
      </c>
      <c r="C4068" s="5">
        <f t="shared" si="45"/>
        <v>-3614937</v>
      </c>
      <c r="D4068" s="6"/>
    </row>
    <row r="4069" spans="1:4" x14ac:dyDescent="0.2">
      <c r="A4069">
        <v>4064</v>
      </c>
      <c r="B4069" s="14">
        <f>'BudgetSum 2-4'!F11</f>
        <v>1250000</v>
      </c>
      <c r="C4069" s="5">
        <f t="shared" si="45"/>
        <v>-1245936</v>
      </c>
      <c r="D4069" s="6"/>
    </row>
    <row r="4070" spans="1:4" x14ac:dyDescent="0.2">
      <c r="A4070">
        <v>4065</v>
      </c>
      <c r="B4070" s="14">
        <f>'BudgetSum 2-4'!G11</f>
        <v>3400000</v>
      </c>
      <c r="C4070" s="5">
        <f t="shared" si="45"/>
        <v>-3395935</v>
      </c>
      <c r="D4070" s="6"/>
    </row>
    <row r="4071" spans="1:4" x14ac:dyDescent="0.2">
      <c r="A4071">
        <v>4066</v>
      </c>
      <c r="B4071" s="14">
        <f>'BudgetSum 2-4'!H11</f>
        <v>2780000</v>
      </c>
      <c r="C4071" s="5">
        <f t="shared" si="45"/>
        <v>-2775934</v>
      </c>
      <c r="D4071" s="6"/>
    </row>
    <row r="4072" spans="1:4" x14ac:dyDescent="0.2">
      <c r="A4072">
        <v>4067</v>
      </c>
      <c r="B4072" s="14">
        <f>'BudgetSum 2-4'!I11</f>
        <v>0</v>
      </c>
      <c r="C4072" s="5">
        <f t="shared" si="45"/>
        <v>4067</v>
      </c>
      <c r="D4072" s="6"/>
    </row>
    <row r="4073" spans="1:4" x14ac:dyDescent="0.2">
      <c r="A4073" s="3">
        <v>4068</v>
      </c>
      <c r="D4073" s="6" t="s">
        <v>299</v>
      </c>
    </row>
    <row r="4074" spans="1:4" x14ac:dyDescent="0.2">
      <c r="A4074">
        <v>4069</v>
      </c>
      <c r="B4074" s="14">
        <f>'BudgetSum 2-4'!K11</f>
        <v>0</v>
      </c>
      <c r="C4074" s="5">
        <f t="shared" si="45"/>
        <v>4069</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79244000</v>
      </c>
      <c r="C4080" s="5">
        <f t="shared" si="45"/>
        <v>-79239925</v>
      </c>
      <c r="D4080" s="6"/>
    </row>
    <row r="4081" spans="1:4" x14ac:dyDescent="0.2">
      <c r="A4081">
        <v>4076</v>
      </c>
      <c r="B4081" s="14">
        <f>'BudgetSum 2-4'!D21</f>
        <v>8220000</v>
      </c>
      <c r="C4081" s="5">
        <f t="shared" si="45"/>
        <v>-8215924</v>
      </c>
      <c r="D4081" s="6"/>
    </row>
    <row r="4082" spans="1:4" x14ac:dyDescent="0.2">
      <c r="A4082">
        <v>4077</v>
      </c>
      <c r="B4082" s="14">
        <f>'BudgetSum 2-4'!E21</f>
        <v>3619000</v>
      </c>
      <c r="C4082" s="5">
        <f t="shared" si="45"/>
        <v>-3614923</v>
      </c>
      <c r="D4082" s="6"/>
    </row>
    <row r="4083" spans="1:4" x14ac:dyDescent="0.2">
      <c r="A4083">
        <v>4078</v>
      </c>
      <c r="B4083" s="14">
        <f>'BudgetSum 2-4'!F21</f>
        <v>1250000</v>
      </c>
      <c r="C4083" s="5">
        <f t="shared" si="45"/>
        <v>-1245922</v>
      </c>
      <c r="D4083" s="6"/>
    </row>
    <row r="4084" spans="1:4" x14ac:dyDescent="0.2">
      <c r="A4084">
        <v>4079</v>
      </c>
      <c r="B4084" s="14">
        <f>'BudgetSum 2-4'!G21</f>
        <v>3400000</v>
      </c>
      <c r="C4084" s="5">
        <f t="shared" si="45"/>
        <v>-3395921</v>
      </c>
      <c r="D4084" s="6"/>
    </row>
    <row r="4085" spans="1:4" x14ac:dyDescent="0.2">
      <c r="A4085">
        <v>4080</v>
      </c>
      <c r="B4085" s="14">
        <f>'BudgetSum 2-4'!H21</f>
        <v>3880000</v>
      </c>
      <c r="C4085" s="5">
        <f t="shared" si="45"/>
        <v>-3875920</v>
      </c>
      <c r="D4085" s="6"/>
    </row>
    <row r="4086" spans="1:4" x14ac:dyDescent="0.2">
      <c r="A4086" s="3">
        <v>4081</v>
      </c>
      <c r="D4086" s="7"/>
    </row>
    <row r="4087" spans="1:4" x14ac:dyDescent="0.2">
      <c r="A4087" s="3">
        <v>4082</v>
      </c>
      <c r="D4087" s="6" t="s">
        <v>299</v>
      </c>
    </row>
    <row r="4088" spans="1:4" x14ac:dyDescent="0.2">
      <c r="A4088">
        <v>4083</v>
      </c>
      <c r="B4088" s="14">
        <f>'BudgetSum 2-4'!K21</f>
        <v>0</v>
      </c>
      <c r="C4088" s="5">
        <f t="shared" si="45"/>
        <v>4083</v>
      </c>
      <c r="D4088" s="6"/>
    </row>
    <row r="4089" spans="1:4" x14ac:dyDescent="0.2">
      <c r="A4089" s="3">
        <v>4084</v>
      </c>
      <c r="D4089" s="6" t="s">
        <v>299</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299</v>
      </c>
    </row>
    <row r="4095" spans="1:4" x14ac:dyDescent="0.2">
      <c r="A4095" s="3">
        <v>4090</v>
      </c>
      <c r="D4095" s="6" t="s">
        <v>299</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12-20'!I208</f>
        <v>0</v>
      </c>
      <c r="C4100" s="5">
        <f t="shared" si="45"/>
        <v>4095</v>
      </c>
      <c r="D4100" s="6"/>
    </row>
    <row r="4101" spans="1:4" x14ac:dyDescent="0.2">
      <c r="A4101">
        <v>4096</v>
      </c>
      <c r="B4101" s="14">
        <f>'EstExp 12-20'!L208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299</v>
      </c>
    </row>
    <row r="4106" spans="1:4" x14ac:dyDescent="0.2">
      <c r="A4106" s="3">
        <v>4101</v>
      </c>
      <c r="D4106" s="6" t="s">
        <v>299</v>
      </c>
    </row>
    <row r="4107" spans="1:4" x14ac:dyDescent="0.2">
      <c r="A4107" s="3">
        <v>4102</v>
      </c>
      <c r="D4107" s="6" t="s">
        <v>299</v>
      </c>
    </row>
    <row r="4108" spans="1:4" x14ac:dyDescent="0.2">
      <c r="A4108" s="3">
        <v>4103</v>
      </c>
      <c r="D4108" s="7"/>
    </row>
    <row r="4109" spans="1:4" x14ac:dyDescent="0.2">
      <c r="A4109">
        <v>4104</v>
      </c>
      <c r="B4109" s="14">
        <f>'EstExp 12-20'!E281</f>
        <v>0</v>
      </c>
      <c r="C4109" s="5">
        <f t="shared" ref="C4109:C4161" si="46">A4109-B4109</f>
        <v>4104</v>
      </c>
      <c r="D4109" s="6"/>
    </row>
    <row r="4110" spans="1:4" x14ac:dyDescent="0.2">
      <c r="A4110">
        <v>4105</v>
      </c>
      <c r="B4110" s="14">
        <f>'EstExp 12-20'!L281</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299</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299</v>
      </c>
    </row>
    <row r="4123" spans="1:4" x14ac:dyDescent="0.2">
      <c r="A4123">
        <v>4118</v>
      </c>
      <c r="B4123" s="14">
        <f>'EstRev 6-11'!E163</f>
        <v>0</v>
      </c>
      <c r="C4123" s="5">
        <f t="shared" si="46"/>
        <v>4118</v>
      </c>
      <c r="D4123" s="6"/>
    </row>
    <row r="4124" spans="1:4" x14ac:dyDescent="0.2">
      <c r="A4124">
        <v>4119</v>
      </c>
      <c r="B4124" s="14">
        <f>'EstRev 6-11'!G163</f>
        <v>0</v>
      </c>
      <c r="C4124" s="5">
        <f t="shared" si="46"/>
        <v>4119</v>
      </c>
      <c r="D4124" s="6"/>
    </row>
    <row r="4125" spans="1:4" x14ac:dyDescent="0.2">
      <c r="A4125">
        <v>4120</v>
      </c>
      <c r="B4125" s="14">
        <f>'EstRev 6-11'!H163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6-11'!D262</f>
        <v>0</v>
      </c>
      <c r="C4133" s="5">
        <f t="shared" si="46"/>
        <v>4128</v>
      </c>
      <c r="D4133" s="6"/>
    </row>
    <row r="4134" spans="1:4" x14ac:dyDescent="0.2">
      <c r="A4134">
        <v>4129</v>
      </c>
      <c r="B4134" s="14">
        <f>'EstRev 6-11'!E262</f>
        <v>0</v>
      </c>
      <c r="C4134" s="5">
        <f t="shared" si="46"/>
        <v>4129</v>
      </c>
      <c r="D4134" s="6"/>
    </row>
    <row r="4135" spans="1:4" x14ac:dyDescent="0.2">
      <c r="A4135">
        <v>4130</v>
      </c>
      <c r="B4135" s="14">
        <f>'EstRev 6-11'!G262</f>
        <v>0</v>
      </c>
      <c r="C4135" s="5">
        <f t="shared" si="46"/>
        <v>4130</v>
      </c>
      <c r="D4135" s="6"/>
    </row>
    <row r="4136" spans="1:4" x14ac:dyDescent="0.2">
      <c r="A4136">
        <v>4131</v>
      </c>
      <c r="B4136" s="14">
        <f>'EstRev 6-11'!H262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299</v>
      </c>
    </row>
    <row r="4142" spans="1:4" x14ac:dyDescent="0.2">
      <c r="A4142" s="3">
        <v>4137</v>
      </c>
      <c r="D4142" s="6" t="s">
        <v>299</v>
      </c>
    </row>
    <row r="4143" spans="1:4" x14ac:dyDescent="0.2">
      <c r="A4143">
        <v>4138</v>
      </c>
      <c r="B4143" s="14">
        <f>'EstExp 12-20'!F138</f>
        <v>0</v>
      </c>
      <c r="C4143" s="5">
        <f t="shared" si="46"/>
        <v>4138</v>
      </c>
      <c r="D4143" s="6"/>
    </row>
    <row r="4144" spans="1:4" x14ac:dyDescent="0.2">
      <c r="A4144">
        <v>4139</v>
      </c>
      <c r="B4144" s="14">
        <f>'EstExp 12-20'!F139</f>
        <v>0</v>
      </c>
      <c r="C4144" s="5">
        <f t="shared" si="46"/>
        <v>4139</v>
      </c>
      <c r="D4144" s="6"/>
    </row>
    <row r="4145" spans="1:4" x14ac:dyDescent="0.2">
      <c r="A4145">
        <v>4140</v>
      </c>
      <c r="B4145" s="14">
        <f>'EstExp 12-20'!F140</f>
        <v>0</v>
      </c>
      <c r="C4145" s="5">
        <f t="shared" si="46"/>
        <v>4140</v>
      </c>
      <c r="D4145" s="6"/>
    </row>
    <row r="4146" spans="1:4" x14ac:dyDescent="0.2">
      <c r="A4146">
        <v>4141</v>
      </c>
      <c r="B4146" s="14">
        <f>'EstExp 12-20'!F141</f>
        <v>0</v>
      </c>
      <c r="C4146" s="5">
        <f t="shared" si="46"/>
        <v>4141</v>
      </c>
      <c r="D4146" s="6"/>
    </row>
    <row r="4147" spans="1:4" x14ac:dyDescent="0.2">
      <c r="A4147">
        <v>4142</v>
      </c>
      <c r="B4147" s="14">
        <f>'EstExp 12-20'!F143</f>
        <v>0</v>
      </c>
      <c r="C4147" s="5">
        <f t="shared" si="46"/>
        <v>4142</v>
      </c>
      <c r="D4147" s="6"/>
    </row>
    <row r="4148" spans="1:4" x14ac:dyDescent="0.2">
      <c r="A4148" s="3">
        <v>4143</v>
      </c>
      <c r="D4148" s="6" t="s">
        <v>299</v>
      </c>
    </row>
    <row r="4149" spans="1:4" x14ac:dyDescent="0.2">
      <c r="A4149" s="3">
        <v>4144</v>
      </c>
      <c r="D4149" s="6" t="s">
        <v>299</v>
      </c>
    </row>
    <row r="4150" spans="1:4" x14ac:dyDescent="0.2">
      <c r="A4150" s="3">
        <v>4145</v>
      </c>
      <c r="D4150" s="6" t="s">
        <v>299</v>
      </c>
    </row>
    <row r="4151" spans="1:4" x14ac:dyDescent="0.2">
      <c r="A4151" s="3">
        <v>4146</v>
      </c>
      <c r="D4151" s="6" t="s">
        <v>299</v>
      </c>
    </row>
    <row r="4152" spans="1:4" x14ac:dyDescent="0.2">
      <c r="A4152" s="3">
        <v>4147</v>
      </c>
      <c r="D4152" s="6" t="s">
        <v>299</v>
      </c>
    </row>
    <row r="4153" spans="1:4" x14ac:dyDescent="0.2">
      <c r="A4153" s="3">
        <v>4148</v>
      </c>
      <c r="D4153" s="6" t="s">
        <v>299</v>
      </c>
    </row>
    <row r="4154" spans="1:4" x14ac:dyDescent="0.2">
      <c r="A4154">
        <v>4149</v>
      </c>
      <c r="B4154" s="14">
        <f>'EstExp 12-20'!I210</f>
        <v>0</v>
      </c>
      <c r="C4154" s="5">
        <f t="shared" si="46"/>
        <v>4149</v>
      </c>
      <c r="D4154" s="6"/>
    </row>
    <row r="4155" spans="1:4" x14ac:dyDescent="0.2">
      <c r="A4155">
        <v>4150</v>
      </c>
      <c r="B4155" s="14">
        <f>'EstExp 12-20'!L210</f>
        <v>0</v>
      </c>
      <c r="C4155" s="5">
        <f t="shared" si="46"/>
        <v>4150</v>
      </c>
      <c r="D4155" s="6"/>
    </row>
    <row r="4156" spans="1:4" x14ac:dyDescent="0.2">
      <c r="A4156" s="3">
        <v>4151</v>
      </c>
      <c r="D4156" s="6" t="s">
        <v>299</v>
      </c>
    </row>
    <row r="4157" spans="1:4" x14ac:dyDescent="0.2">
      <c r="A4157" s="3">
        <v>4152</v>
      </c>
      <c r="D4157" s="6" t="s">
        <v>299</v>
      </c>
    </row>
    <row r="4158" spans="1:4" x14ac:dyDescent="0.2">
      <c r="A4158" s="3">
        <v>4153</v>
      </c>
      <c r="D4158" s="6" t="s">
        <v>299</v>
      </c>
    </row>
    <row r="4159" spans="1:4" x14ac:dyDescent="0.2">
      <c r="A4159">
        <v>4154</v>
      </c>
      <c r="B4159" s="14">
        <f>'EstRev 6-11'!J170</f>
        <v>0</v>
      </c>
      <c r="C4159" s="5">
        <f t="shared" si="46"/>
        <v>4154</v>
      </c>
      <c r="D4159" s="6"/>
    </row>
    <row r="4160" spans="1:4" x14ac:dyDescent="0.2">
      <c r="A4160">
        <v>4155</v>
      </c>
      <c r="B4160" s="14">
        <f>'EstRev 6-11'!J172</f>
        <v>0</v>
      </c>
      <c r="C4160" s="5">
        <f t="shared" si="46"/>
        <v>4155</v>
      </c>
      <c r="D4160" s="6"/>
    </row>
    <row r="4161" spans="1:4" x14ac:dyDescent="0.2">
      <c r="A4161">
        <v>4156</v>
      </c>
      <c r="B4161" s="14">
        <f>'BudgetSum 2-4'!E38</f>
        <v>0</v>
      </c>
      <c r="C4161" s="5">
        <f t="shared" si="46"/>
        <v>4156</v>
      </c>
      <c r="D4161" s="6"/>
    </row>
    <row r="4162" spans="1:4" x14ac:dyDescent="0.2">
      <c r="A4162" s="3">
        <v>4157</v>
      </c>
      <c r="D4162" s="6" t="s">
        <v>299</v>
      </c>
    </row>
    <row r="4163" spans="1:4" x14ac:dyDescent="0.2">
      <c r="A4163" s="3">
        <v>4158</v>
      </c>
      <c r="D4163" s="6" t="s">
        <v>299</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6-11'!D142</f>
        <v>0</v>
      </c>
      <c r="C4171" s="5">
        <f t="shared" ref="C4171:C4174" si="47">A4171-B4171</f>
        <v>4166</v>
      </c>
      <c r="D4171" s="6"/>
    </row>
    <row r="4172" spans="1:4" x14ac:dyDescent="0.2">
      <c r="A4172">
        <v>4167</v>
      </c>
      <c r="B4172" s="14">
        <f>'EstRev 6-11'!E142</f>
        <v>0</v>
      </c>
      <c r="C4172" s="5">
        <f t="shared" si="47"/>
        <v>4167</v>
      </c>
      <c r="D4172" s="6"/>
    </row>
    <row r="4173" spans="1:4" x14ac:dyDescent="0.2">
      <c r="A4173" s="3">
        <v>4168</v>
      </c>
      <c r="D4173" s="6" t="s">
        <v>299</v>
      </c>
    </row>
    <row r="4174" spans="1:4" x14ac:dyDescent="0.2">
      <c r="A4174">
        <v>4169</v>
      </c>
      <c r="B4174" s="14">
        <f>'EstRev 6-11'!H142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299</v>
      </c>
    </row>
    <row r="4196" spans="1:4" x14ac:dyDescent="0.2">
      <c r="A4196" s="3">
        <v>4191</v>
      </c>
      <c r="D4196" s="6" t="s">
        <v>299</v>
      </c>
    </row>
    <row r="4197" spans="1:4" x14ac:dyDescent="0.2">
      <c r="A4197" s="3">
        <v>4192</v>
      </c>
      <c r="D4197" s="6" t="s">
        <v>299</v>
      </c>
    </row>
    <row r="4198" spans="1:4" x14ac:dyDescent="0.2">
      <c r="A4198" s="3">
        <v>4193</v>
      </c>
      <c r="D4198" s="6" t="s">
        <v>299</v>
      </c>
    </row>
    <row r="4199" spans="1:4" x14ac:dyDescent="0.2">
      <c r="A4199" s="3">
        <v>4194</v>
      </c>
      <c r="D4199" s="6" t="s">
        <v>299</v>
      </c>
    </row>
    <row r="4200" spans="1:4" x14ac:dyDescent="0.2">
      <c r="A4200" s="3">
        <v>4195</v>
      </c>
      <c r="D4200" s="6" t="s">
        <v>299</v>
      </c>
    </row>
    <row r="4201" spans="1:4" x14ac:dyDescent="0.2">
      <c r="A4201" s="3">
        <v>4196</v>
      </c>
      <c r="D4201" s="6" t="s">
        <v>299</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299</v>
      </c>
    </row>
    <row r="4207" spans="1:4" x14ac:dyDescent="0.2">
      <c r="A4207" s="3">
        <v>4202</v>
      </c>
      <c r="D4207" s="6" t="s">
        <v>299</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6-11'!D133</f>
        <v>0</v>
      </c>
      <c r="C4253" s="5">
        <f t="shared" ref="C4253:C4295" si="48">A4253-B4253</f>
        <v>4248</v>
      </c>
      <c r="D4253" s="6"/>
    </row>
    <row r="4254" spans="1:4" x14ac:dyDescent="0.2">
      <c r="A4254">
        <v>4249</v>
      </c>
      <c r="B4254" s="14">
        <f>'EstRev 6-11'!E133</f>
        <v>0</v>
      </c>
      <c r="C4254" s="5">
        <f t="shared" si="48"/>
        <v>4249</v>
      </c>
      <c r="D4254" s="6"/>
    </row>
    <row r="4255" spans="1:4" x14ac:dyDescent="0.2">
      <c r="A4255">
        <v>4250</v>
      </c>
      <c r="B4255" s="14">
        <f>'EstRev 6-11'!G133</f>
        <v>0</v>
      </c>
      <c r="C4255" s="5">
        <f t="shared" si="48"/>
        <v>4250</v>
      </c>
      <c r="D4255" s="6"/>
    </row>
    <row r="4256" spans="1:4" x14ac:dyDescent="0.2">
      <c r="A4256">
        <v>4251</v>
      </c>
      <c r="B4256" s="14">
        <f>'EstRev 6-11'!D152</f>
        <v>0</v>
      </c>
      <c r="C4256" s="5">
        <f t="shared" si="48"/>
        <v>4251</v>
      </c>
      <c r="D4256" s="6"/>
    </row>
    <row r="4257" spans="1:4" x14ac:dyDescent="0.2">
      <c r="A4257">
        <v>4252</v>
      </c>
      <c r="B4257" s="14">
        <f>'EstRev 6-11'!E152</f>
        <v>0</v>
      </c>
      <c r="C4257" s="5">
        <f t="shared" si="48"/>
        <v>4252</v>
      </c>
      <c r="D4257" s="6"/>
    </row>
    <row r="4258" spans="1:4" x14ac:dyDescent="0.2">
      <c r="A4258">
        <v>4253</v>
      </c>
      <c r="B4258" s="14">
        <f>'EstRev 6-11'!D156</f>
        <v>0</v>
      </c>
      <c r="C4258" s="5">
        <f t="shared" si="48"/>
        <v>4253</v>
      </c>
      <c r="D4258" s="6"/>
    </row>
    <row r="4259" spans="1:4" x14ac:dyDescent="0.2">
      <c r="A4259">
        <v>4254</v>
      </c>
      <c r="B4259" s="14">
        <f>'EstRev 6-11'!E156</f>
        <v>0</v>
      </c>
      <c r="C4259" s="5">
        <f t="shared" si="48"/>
        <v>4254</v>
      </c>
      <c r="D4259" s="6"/>
    </row>
    <row r="4260" spans="1:4" x14ac:dyDescent="0.2">
      <c r="A4260">
        <v>4255</v>
      </c>
      <c r="B4260" s="14">
        <f>'EstRev 6-11'!G156</f>
        <v>0</v>
      </c>
      <c r="C4260" s="5">
        <f t="shared" si="48"/>
        <v>4255</v>
      </c>
      <c r="D4260" s="6"/>
    </row>
    <row r="4261" spans="1:4" x14ac:dyDescent="0.2">
      <c r="A4261">
        <v>4256</v>
      </c>
      <c r="B4261" s="14">
        <f>'EstRev 6-11'!D166</f>
        <v>0</v>
      </c>
      <c r="C4261" s="5">
        <f t="shared" si="48"/>
        <v>4256</v>
      </c>
      <c r="D4261" s="6"/>
    </row>
    <row r="4262" spans="1:4" x14ac:dyDescent="0.2">
      <c r="A4262">
        <v>4257</v>
      </c>
      <c r="B4262" s="14">
        <f>'EstRev 6-11'!G166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6-11'!D167</f>
        <v>0</v>
      </c>
      <c r="C4265" s="5">
        <f t="shared" si="48"/>
        <v>4260</v>
      </c>
      <c r="D4265" s="6"/>
    </row>
    <row r="4266" spans="1:4" x14ac:dyDescent="0.2">
      <c r="A4266">
        <v>4261</v>
      </c>
      <c r="B4266" s="14">
        <f>'EstRev 6-11'!G167</f>
        <v>0</v>
      </c>
      <c r="C4266" s="5">
        <f t="shared" si="48"/>
        <v>4261</v>
      </c>
      <c r="D4266" s="6"/>
    </row>
    <row r="4267" spans="1:4" x14ac:dyDescent="0.2">
      <c r="A4267" s="3">
        <v>4262</v>
      </c>
      <c r="D4267" s="6" t="s">
        <v>299</v>
      </c>
    </row>
    <row r="4268" spans="1:4" x14ac:dyDescent="0.2">
      <c r="A4268" s="3">
        <v>4263</v>
      </c>
      <c r="D4268" s="6" t="s">
        <v>299</v>
      </c>
    </row>
    <row r="4269" spans="1:4" x14ac:dyDescent="0.2">
      <c r="A4269" s="3">
        <v>4264</v>
      </c>
      <c r="D4269" s="7"/>
    </row>
    <row r="4270" spans="1:4" x14ac:dyDescent="0.2">
      <c r="A4270" s="3">
        <v>4265</v>
      </c>
      <c r="D4270" s="7"/>
    </row>
    <row r="4271" spans="1:4" x14ac:dyDescent="0.2">
      <c r="A4271">
        <v>4266</v>
      </c>
      <c r="B4271" s="14">
        <f>'EstRev 6-11'!E168</f>
        <v>0</v>
      </c>
      <c r="C4271" s="5">
        <f t="shared" si="48"/>
        <v>4266</v>
      </c>
      <c r="D4271" s="6"/>
    </row>
    <row r="4272" spans="1:4" x14ac:dyDescent="0.2">
      <c r="A4272">
        <v>4267</v>
      </c>
      <c r="B4272" s="14">
        <f>'EstRev 6-11'!I168</f>
        <v>0</v>
      </c>
      <c r="C4272" s="5">
        <f t="shared" si="48"/>
        <v>4267</v>
      </c>
      <c r="D4272" s="6"/>
    </row>
    <row r="4273" spans="1:4" x14ac:dyDescent="0.2">
      <c r="A4273">
        <v>4268</v>
      </c>
      <c r="B4273" s="14">
        <f>'EstRev 6-11'!E169</f>
        <v>0</v>
      </c>
      <c r="C4273" s="5">
        <f t="shared" si="48"/>
        <v>4268</v>
      </c>
      <c r="D4273" s="6"/>
    </row>
    <row r="4274" spans="1:4" x14ac:dyDescent="0.2">
      <c r="A4274">
        <v>4269</v>
      </c>
      <c r="B4274" s="14">
        <f>'EstRev 6-11'!L169</f>
        <v>0</v>
      </c>
      <c r="C4274" s="5">
        <f t="shared" si="48"/>
        <v>4269</v>
      </c>
      <c r="D4274" s="6"/>
    </row>
    <row r="4275" spans="1:4" x14ac:dyDescent="0.2">
      <c r="A4275">
        <v>4270</v>
      </c>
      <c r="B4275" s="14">
        <f>'EstRev 6-11'!D199</f>
        <v>0</v>
      </c>
      <c r="C4275" s="5">
        <f t="shared" si="48"/>
        <v>4270</v>
      </c>
      <c r="D4275" s="6"/>
    </row>
    <row r="4276" spans="1:4" x14ac:dyDescent="0.2">
      <c r="A4276">
        <v>4271</v>
      </c>
      <c r="B4276" s="14">
        <f>'EstRev 6-11'!D205</f>
        <v>0</v>
      </c>
      <c r="C4276" s="5">
        <f t="shared" si="48"/>
        <v>4271</v>
      </c>
      <c r="D4276" s="6"/>
    </row>
    <row r="4277" spans="1:4" x14ac:dyDescent="0.2">
      <c r="A4277">
        <v>4272</v>
      </c>
      <c r="B4277" s="14">
        <f>'EstRev 6-11'!E205</f>
        <v>0</v>
      </c>
      <c r="C4277" s="5">
        <f t="shared" si="48"/>
        <v>4272</v>
      </c>
      <c r="D4277" s="6"/>
    </row>
    <row r="4278" spans="1:4" x14ac:dyDescent="0.2">
      <c r="A4278">
        <v>4273</v>
      </c>
      <c r="B4278" s="14">
        <f>'EstRev 6-11'!G205</f>
        <v>0</v>
      </c>
      <c r="C4278" s="5">
        <f t="shared" si="48"/>
        <v>4273</v>
      </c>
      <c r="D4278" s="6"/>
    </row>
    <row r="4279" spans="1:4" x14ac:dyDescent="0.2">
      <c r="A4279">
        <v>4274</v>
      </c>
      <c r="B4279" s="14">
        <f>'EstRev 6-11'!H205</f>
        <v>0</v>
      </c>
      <c r="C4279" s="5">
        <f t="shared" si="48"/>
        <v>4274</v>
      </c>
      <c r="D4279" s="6"/>
    </row>
    <row r="4280" spans="1:4" x14ac:dyDescent="0.2">
      <c r="A4280">
        <v>4275</v>
      </c>
      <c r="B4280" s="14">
        <f>'EstRev 6-11'!D210</f>
        <v>0</v>
      </c>
      <c r="C4280" s="5">
        <f t="shared" si="48"/>
        <v>4275</v>
      </c>
      <c r="D4280" s="6"/>
    </row>
    <row r="4281" spans="1:4" x14ac:dyDescent="0.2">
      <c r="A4281">
        <v>4276</v>
      </c>
      <c r="B4281" s="14">
        <f>'EstRev 6-11'!E210</f>
        <v>0</v>
      </c>
      <c r="C4281" s="5">
        <f t="shared" si="48"/>
        <v>4276</v>
      </c>
      <c r="D4281" s="6"/>
    </row>
    <row r="4282" spans="1:4" x14ac:dyDescent="0.2">
      <c r="A4282">
        <v>4277</v>
      </c>
      <c r="B4282" s="14">
        <f>'EstRev 6-11'!G210</f>
        <v>0</v>
      </c>
      <c r="C4282" s="5">
        <f t="shared" si="48"/>
        <v>4277</v>
      </c>
      <c r="D4282" s="6"/>
    </row>
    <row r="4283" spans="1:4" x14ac:dyDescent="0.2">
      <c r="A4283">
        <v>4278</v>
      </c>
      <c r="B4283" s="14">
        <f>'EstRev 6-11'!H210</f>
        <v>0</v>
      </c>
      <c r="C4283" s="5">
        <f t="shared" si="48"/>
        <v>4278</v>
      </c>
      <c r="D4283" s="6"/>
    </row>
    <row r="4284" spans="1:4" x14ac:dyDescent="0.2">
      <c r="A4284">
        <v>4279</v>
      </c>
      <c r="B4284" s="14">
        <f>'EstRev 6-11'!D218</f>
        <v>0</v>
      </c>
      <c r="C4284" s="5">
        <f t="shared" si="48"/>
        <v>4279</v>
      </c>
      <c r="D4284" s="6"/>
    </row>
    <row r="4285" spans="1:4" x14ac:dyDescent="0.2">
      <c r="A4285">
        <v>4280</v>
      </c>
      <c r="B4285" s="14">
        <f>'EstRev 6-11'!E218</f>
        <v>0</v>
      </c>
      <c r="C4285" s="5">
        <f t="shared" si="48"/>
        <v>4280</v>
      </c>
      <c r="D4285" s="6"/>
    </row>
    <row r="4286" spans="1:4" x14ac:dyDescent="0.2">
      <c r="A4286">
        <v>4281</v>
      </c>
      <c r="B4286" s="14">
        <f>'EstRev 6-11'!G218</f>
        <v>0</v>
      </c>
      <c r="C4286" s="5">
        <f t="shared" si="48"/>
        <v>4281</v>
      </c>
      <c r="D4286" s="6"/>
    </row>
    <row r="4287" spans="1:4" x14ac:dyDescent="0.2">
      <c r="A4287">
        <v>4282</v>
      </c>
      <c r="B4287" s="14">
        <f>'EstRev 6-11'!H218</f>
        <v>0</v>
      </c>
      <c r="C4287" s="5">
        <f t="shared" si="48"/>
        <v>4282</v>
      </c>
      <c r="D4287" s="6"/>
    </row>
    <row r="4288" spans="1:4" x14ac:dyDescent="0.2">
      <c r="A4288">
        <v>4283</v>
      </c>
      <c r="B4288" s="14">
        <f>'EstRev 6-11'!D222</f>
        <v>0</v>
      </c>
      <c r="C4288" s="5">
        <f t="shared" si="48"/>
        <v>4283</v>
      </c>
      <c r="D4288" s="6"/>
    </row>
    <row r="4289" spans="1:4" x14ac:dyDescent="0.2">
      <c r="A4289">
        <v>4284</v>
      </c>
      <c r="B4289" s="14">
        <f>'EstRev 6-11'!E222</f>
        <v>0</v>
      </c>
      <c r="C4289" s="5">
        <f t="shared" si="48"/>
        <v>4284</v>
      </c>
      <c r="D4289" s="6"/>
    </row>
    <row r="4290" spans="1:4" x14ac:dyDescent="0.2">
      <c r="A4290">
        <v>4285</v>
      </c>
      <c r="B4290" s="14">
        <f>'EstRev 6-11'!H222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6-11'!D149</f>
        <v>0</v>
      </c>
      <c r="C4295" s="5">
        <f t="shared" si="48"/>
        <v>4290</v>
      </c>
      <c r="D4295" s="6"/>
    </row>
    <row r="4296" spans="1:4" x14ac:dyDescent="0.2">
      <c r="A4296">
        <v>4291</v>
      </c>
      <c r="B4296" s="14">
        <f>'EstRev 6-11'!E149</f>
        <v>0</v>
      </c>
      <c r="C4296" s="5">
        <f t="shared" ref="C4296:C4359" si="49">A4296-B4296</f>
        <v>4291</v>
      </c>
      <c r="D4296" s="6"/>
    </row>
    <row r="4297" spans="1:4" x14ac:dyDescent="0.2">
      <c r="A4297">
        <v>4292</v>
      </c>
      <c r="B4297" s="14">
        <f>'EstRev 6-11'!H149</f>
        <v>0</v>
      </c>
      <c r="C4297" s="5">
        <f t="shared" si="49"/>
        <v>4292</v>
      </c>
      <c r="D4297" s="6"/>
    </row>
    <row r="4298" spans="1:4" x14ac:dyDescent="0.2">
      <c r="A4298">
        <v>4293</v>
      </c>
      <c r="B4298" s="14">
        <f>'EstRev 6-11'!G152</f>
        <v>0</v>
      </c>
      <c r="C4298" s="5">
        <f t="shared" si="49"/>
        <v>4293</v>
      </c>
      <c r="D4298" s="6"/>
    </row>
    <row r="4299" spans="1:4" x14ac:dyDescent="0.2">
      <c r="A4299">
        <v>4294</v>
      </c>
      <c r="B4299" s="14">
        <f>'EstRev 6-11'!H152</f>
        <v>0</v>
      </c>
      <c r="C4299" s="5">
        <f t="shared" si="49"/>
        <v>4294</v>
      </c>
      <c r="D4299" s="6"/>
    </row>
    <row r="4300" spans="1:4" x14ac:dyDescent="0.2">
      <c r="A4300">
        <v>4295</v>
      </c>
      <c r="B4300" s="14">
        <f>'EstRev 6-11'!H156</f>
        <v>0</v>
      </c>
      <c r="C4300" s="5">
        <f t="shared" si="49"/>
        <v>4295</v>
      </c>
      <c r="D4300" s="6"/>
    </row>
    <row r="4301" spans="1:4" x14ac:dyDescent="0.2">
      <c r="A4301">
        <v>4296</v>
      </c>
      <c r="B4301" s="14">
        <f>'EstRev 6-11'!H157</f>
        <v>0</v>
      </c>
      <c r="C4301" s="5">
        <f t="shared" si="49"/>
        <v>4296</v>
      </c>
      <c r="D4301" s="6"/>
    </row>
    <row r="4302" spans="1:4" x14ac:dyDescent="0.2">
      <c r="A4302">
        <v>4297</v>
      </c>
      <c r="B4302" s="14">
        <f>'EstRev 6-11'!D265</f>
        <v>0</v>
      </c>
      <c r="C4302" s="5">
        <f t="shared" si="49"/>
        <v>4297</v>
      </c>
      <c r="D4302" s="6"/>
    </row>
    <row r="4303" spans="1:4" x14ac:dyDescent="0.2">
      <c r="A4303">
        <v>4298</v>
      </c>
      <c r="B4303" s="14">
        <f>'EstRev 6-11'!E265</f>
        <v>0</v>
      </c>
      <c r="C4303" s="5">
        <f t="shared" si="49"/>
        <v>4298</v>
      </c>
      <c r="D4303" s="6"/>
    </row>
    <row r="4304" spans="1:4" x14ac:dyDescent="0.2">
      <c r="A4304">
        <v>4299</v>
      </c>
      <c r="B4304" s="14">
        <f>'EstRev 6-11'!G265</f>
        <v>0</v>
      </c>
      <c r="C4304" s="5">
        <f t="shared" si="49"/>
        <v>4299</v>
      </c>
      <c r="D4304" s="6"/>
    </row>
    <row r="4305" spans="1:4" x14ac:dyDescent="0.2">
      <c r="A4305">
        <v>4300</v>
      </c>
      <c r="B4305" s="14">
        <f>'EstRev 6-11'!H265</f>
        <v>0</v>
      </c>
      <c r="C4305" s="5">
        <f t="shared" si="49"/>
        <v>4300</v>
      </c>
      <c r="D4305" s="6"/>
    </row>
    <row r="4306" spans="1:4" x14ac:dyDescent="0.2">
      <c r="A4306">
        <v>4301</v>
      </c>
      <c r="B4306" s="14">
        <f>'EstRev 6-11'!D266</f>
        <v>120000</v>
      </c>
      <c r="C4306" s="5">
        <f t="shared" si="49"/>
        <v>-115699</v>
      </c>
      <c r="D4306" s="6"/>
    </row>
    <row r="4307" spans="1:4" x14ac:dyDescent="0.2">
      <c r="A4307">
        <v>4302</v>
      </c>
      <c r="B4307" s="14">
        <f>'EstRev 6-11'!J171</f>
        <v>0</v>
      </c>
      <c r="C4307" s="5">
        <f t="shared" si="49"/>
        <v>4302</v>
      </c>
      <c r="D4307" s="6"/>
    </row>
    <row r="4308" spans="1:4" x14ac:dyDescent="0.2">
      <c r="A4308">
        <v>4303</v>
      </c>
      <c r="B4308" s="14">
        <f>'EstRev 6-11'!F175</f>
        <v>0</v>
      </c>
      <c r="C4308" s="5">
        <f t="shared" si="49"/>
        <v>4303</v>
      </c>
      <c r="D4308" s="6"/>
    </row>
    <row r="4309" spans="1:4" x14ac:dyDescent="0.2">
      <c r="A4309">
        <v>4304</v>
      </c>
      <c r="B4309" s="14">
        <f>'EstRev 6-11'!I175</f>
        <v>0</v>
      </c>
      <c r="C4309" s="5">
        <f t="shared" si="49"/>
        <v>4304</v>
      </c>
      <c r="D4309" s="6"/>
    </row>
    <row r="4310" spans="1:4" x14ac:dyDescent="0.2">
      <c r="A4310">
        <v>4305</v>
      </c>
      <c r="B4310" s="14">
        <f>'EstRev 6-11'!J175</f>
        <v>0</v>
      </c>
      <c r="C4310" s="5">
        <f t="shared" si="49"/>
        <v>4305</v>
      </c>
      <c r="D4310" s="6"/>
    </row>
    <row r="4311" spans="1:4" x14ac:dyDescent="0.2">
      <c r="A4311" s="3">
        <v>4306</v>
      </c>
      <c r="D4311" s="6" t="s">
        <v>299</v>
      </c>
    </row>
    <row r="4312" spans="1:4" x14ac:dyDescent="0.2">
      <c r="A4312">
        <v>4307</v>
      </c>
      <c r="B4312" s="14">
        <f>'EstRev 6-11'!L175</f>
        <v>0</v>
      </c>
      <c r="C4312" s="5">
        <f t="shared" si="49"/>
        <v>4307</v>
      </c>
      <c r="D4312" s="6"/>
    </row>
    <row r="4313" spans="1:4" x14ac:dyDescent="0.2">
      <c r="A4313">
        <v>4308</v>
      </c>
      <c r="B4313" s="14">
        <f>'EstRev 6-11'!F176</f>
        <v>0</v>
      </c>
      <c r="C4313" s="5">
        <f t="shared" si="49"/>
        <v>4308</v>
      </c>
      <c r="D4313" s="6"/>
    </row>
    <row r="4314" spans="1:4" x14ac:dyDescent="0.2">
      <c r="A4314">
        <v>4309</v>
      </c>
      <c r="B4314" s="14">
        <f>'EstRev 6-11'!J176</f>
        <v>0</v>
      </c>
      <c r="C4314" s="5">
        <f t="shared" si="49"/>
        <v>4309</v>
      </c>
      <c r="D4314" s="6"/>
    </row>
    <row r="4315" spans="1:4" x14ac:dyDescent="0.2">
      <c r="A4315" s="3">
        <v>4310</v>
      </c>
      <c r="D4315" s="6" t="s">
        <v>299</v>
      </c>
    </row>
    <row r="4316" spans="1:4" x14ac:dyDescent="0.2">
      <c r="A4316">
        <v>4311</v>
      </c>
      <c r="B4316" s="14">
        <f>'EstRev 6-11'!F177</f>
        <v>0</v>
      </c>
      <c r="C4316" s="5">
        <f t="shared" si="49"/>
        <v>4311</v>
      </c>
      <c r="D4316" s="6"/>
    </row>
    <row r="4317" spans="1:4" x14ac:dyDescent="0.2">
      <c r="A4317">
        <v>4312</v>
      </c>
      <c r="B4317" s="14">
        <f>'EstRev 6-11'!J177</f>
        <v>0</v>
      </c>
      <c r="C4317" s="5">
        <f t="shared" si="49"/>
        <v>4312</v>
      </c>
      <c r="D4317" s="6"/>
    </row>
    <row r="4318" spans="1:4" x14ac:dyDescent="0.2">
      <c r="A4318" s="3">
        <v>4313</v>
      </c>
      <c r="D4318" s="6" t="s">
        <v>299</v>
      </c>
    </row>
    <row r="4319" spans="1:4" x14ac:dyDescent="0.2">
      <c r="A4319">
        <v>4314</v>
      </c>
      <c r="B4319" s="14">
        <f>'EstRev 6-11'!D187</f>
        <v>0</v>
      </c>
      <c r="C4319" s="5">
        <f t="shared" si="49"/>
        <v>4314</v>
      </c>
      <c r="D4319" s="6"/>
    </row>
    <row r="4320" spans="1:4" x14ac:dyDescent="0.2">
      <c r="A4320">
        <v>4315</v>
      </c>
      <c r="B4320" s="14">
        <f>'EstRev 6-11'!E187</f>
        <v>0</v>
      </c>
      <c r="C4320" s="5">
        <f t="shared" si="49"/>
        <v>4315</v>
      </c>
      <c r="D4320" s="6"/>
    </row>
    <row r="4321" spans="1:4" x14ac:dyDescent="0.2">
      <c r="A4321">
        <v>4316</v>
      </c>
      <c r="B4321" s="14">
        <f>'EstRev 6-11'!G187</f>
        <v>0</v>
      </c>
      <c r="C4321" s="5">
        <f t="shared" si="49"/>
        <v>4316</v>
      </c>
      <c r="D4321" s="6"/>
    </row>
    <row r="4322" spans="1:4" x14ac:dyDescent="0.2">
      <c r="A4322">
        <v>4317</v>
      </c>
      <c r="B4322" s="14">
        <f>'EstRev 6-11'!H187</f>
        <v>0</v>
      </c>
      <c r="C4322" s="5">
        <f t="shared" si="49"/>
        <v>4317</v>
      </c>
      <c r="D4322" s="6"/>
    </row>
    <row r="4323" spans="1:4" x14ac:dyDescent="0.2">
      <c r="A4323">
        <v>4318</v>
      </c>
      <c r="B4323" s="14">
        <f>'EstRev 6-11'!D188</f>
        <v>0</v>
      </c>
      <c r="C4323" s="5">
        <f t="shared" si="49"/>
        <v>4318</v>
      </c>
      <c r="D4323" s="6"/>
    </row>
    <row r="4324" spans="1:4" x14ac:dyDescent="0.2">
      <c r="A4324">
        <v>4319</v>
      </c>
      <c r="B4324" s="14">
        <f>'EstRev 6-11'!E188</f>
        <v>0</v>
      </c>
      <c r="C4324" s="5">
        <f t="shared" si="49"/>
        <v>4319</v>
      </c>
      <c r="D4324" s="6"/>
    </row>
    <row r="4325" spans="1:4" x14ac:dyDescent="0.2">
      <c r="A4325">
        <v>4320</v>
      </c>
      <c r="B4325" s="14">
        <f>'EstRev 6-11'!G188</f>
        <v>0</v>
      </c>
      <c r="C4325" s="5">
        <f t="shared" si="49"/>
        <v>4320</v>
      </c>
      <c r="D4325" s="6"/>
    </row>
    <row r="4326" spans="1:4" x14ac:dyDescent="0.2">
      <c r="A4326">
        <v>4321</v>
      </c>
      <c r="B4326" s="14">
        <f>'EstRev 6-11'!H188</f>
        <v>0</v>
      </c>
      <c r="C4326" s="5">
        <f t="shared" si="49"/>
        <v>4321</v>
      </c>
      <c r="D4326" s="6"/>
    </row>
    <row r="4327" spans="1:4" x14ac:dyDescent="0.2">
      <c r="A4327" s="3">
        <v>4322</v>
      </c>
      <c r="D4327" s="6" t="s">
        <v>299</v>
      </c>
    </row>
    <row r="4328" spans="1:4" x14ac:dyDescent="0.2">
      <c r="A4328" s="3">
        <v>4323</v>
      </c>
      <c r="D4328" s="6" t="s">
        <v>299</v>
      </c>
    </row>
    <row r="4329" spans="1:4" x14ac:dyDescent="0.2">
      <c r="A4329" s="3">
        <v>4324</v>
      </c>
      <c r="D4329" s="6" t="s">
        <v>299</v>
      </c>
    </row>
    <row r="4330" spans="1:4" x14ac:dyDescent="0.2">
      <c r="A4330" s="3">
        <v>4325</v>
      </c>
      <c r="D4330" s="6" t="s">
        <v>299</v>
      </c>
    </row>
    <row r="4331" spans="1:4" x14ac:dyDescent="0.2">
      <c r="A4331" s="3">
        <v>4326</v>
      </c>
      <c r="D4331" s="6" t="s">
        <v>299</v>
      </c>
    </row>
    <row r="4332" spans="1:4" x14ac:dyDescent="0.2">
      <c r="A4332" s="3">
        <v>4327</v>
      </c>
      <c r="D4332" s="6" t="s">
        <v>299</v>
      </c>
    </row>
    <row r="4333" spans="1:4" x14ac:dyDescent="0.2">
      <c r="A4333" s="3">
        <v>4328</v>
      </c>
      <c r="D4333" s="6" t="s">
        <v>299</v>
      </c>
    </row>
    <row r="4334" spans="1:4" x14ac:dyDescent="0.2">
      <c r="A4334" s="3">
        <v>4329</v>
      </c>
      <c r="D4334" s="6" t="s">
        <v>299</v>
      </c>
    </row>
    <row r="4335" spans="1:4" x14ac:dyDescent="0.2">
      <c r="A4335">
        <v>4330</v>
      </c>
      <c r="B4335" s="14">
        <f>'EstRev 6-11'!D189</f>
        <v>0</v>
      </c>
      <c r="C4335" s="5">
        <f t="shared" si="49"/>
        <v>4330</v>
      </c>
      <c r="D4335" s="6"/>
    </row>
    <row r="4336" spans="1:4" x14ac:dyDescent="0.2">
      <c r="A4336">
        <v>4331</v>
      </c>
      <c r="B4336" s="14">
        <f>'EstRev 6-11'!E189</f>
        <v>0</v>
      </c>
      <c r="C4336" s="5">
        <f t="shared" si="49"/>
        <v>4331</v>
      </c>
      <c r="D4336" s="6"/>
    </row>
    <row r="4337" spans="1:4" x14ac:dyDescent="0.2">
      <c r="A4337">
        <v>4332</v>
      </c>
      <c r="B4337" s="14">
        <f>'EstRev 6-11'!G189</f>
        <v>0</v>
      </c>
      <c r="C4337" s="5">
        <f t="shared" si="49"/>
        <v>4332</v>
      </c>
      <c r="D4337" s="6"/>
    </row>
    <row r="4338" spans="1:4" x14ac:dyDescent="0.2">
      <c r="A4338">
        <v>4333</v>
      </c>
      <c r="B4338" s="14">
        <f>'EstRev 6-11'!H189</f>
        <v>0</v>
      </c>
      <c r="C4338" s="5">
        <f t="shared" si="49"/>
        <v>4333</v>
      </c>
      <c r="D4338" s="6"/>
    </row>
    <row r="4339" spans="1:4" x14ac:dyDescent="0.2">
      <c r="A4339">
        <v>4334</v>
      </c>
      <c r="B4339" s="14">
        <f>'EstRev 6-11'!D190</f>
        <v>0</v>
      </c>
      <c r="C4339" s="5">
        <f t="shared" si="49"/>
        <v>4334</v>
      </c>
      <c r="D4339" s="6"/>
    </row>
    <row r="4340" spans="1:4" x14ac:dyDescent="0.2">
      <c r="A4340">
        <v>4335</v>
      </c>
      <c r="B4340" s="14">
        <f>'EstRev 6-11'!E190</f>
        <v>0</v>
      </c>
      <c r="C4340" s="5">
        <f t="shared" si="49"/>
        <v>4335</v>
      </c>
      <c r="D4340" s="6"/>
    </row>
    <row r="4341" spans="1:4" x14ac:dyDescent="0.2">
      <c r="A4341">
        <v>4336</v>
      </c>
      <c r="B4341" s="14">
        <f>'EstRev 6-11'!G190</f>
        <v>0</v>
      </c>
      <c r="C4341" s="5">
        <f t="shared" si="49"/>
        <v>4336</v>
      </c>
      <c r="D4341" s="6"/>
    </row>
    <row r="4342" spans="1:4" x14ac:dyDescent="0.2">
      <c r="A4342">
        <v>4337</v>
      </c>
      <c r="B4342" s="14">
        <f>'EstRev 6-11'!H190</f>
        <v>0</v>
      </c>
      <c r="C4342" s="5">
        <f t="shared" si="49"/>
        <v>4337</v>
      </c>
      <c r="D4342" s="6"/>
    </row>
    <row r="4343" spans="1:4" x14ac:dyDescent="0.2">
      <c r="A4343" s="3">
        <v>4338</v>
      </c>
      <c r="D4343" s="6" t="s">
        <v>654</v>
      </c>
    </row>
    <row r="4344" spans="1:4" x14ac:dyDescent="0.2">
      <c r="A4344" s="3">
        <v>4339</v>
      </c>
      <c r="D4344" s="6" t="s">
        <v>654</v>
      </c>
    </row>
    <row r="4345" spans="1:4" x14ac:dyDescent="0.2">
      <c r="A4345" s="3">
        <v>4340</v>
      </c>
      <c r="D4345" s="6" t="s">
        <v>654</v>
      </c>
    </row>
    <row r="4346" spans="1:4" x14ac:dyDescent="0.2">
      <c r="A4346" s="3">
        <v>4341</v>
      </c>
      <c r="D4346" s="6" t="s">
        <v>654</v>
      </c>
    </row>
    <row r="4347" spans="1:4" x14ac:dyDescent="0.2">
      <c r="A4347" s="3">
        <v>4342</v>
      </c>
      <c r="D4347" s="6" t="s">
        <v>299</v>
      </c>
    </row>
    <row r="4348" spans="1:4" x14ac:dyDescent="0.2">
      <c r="A4348" s="3">
        <v>4343</v>
      </c>
      <c r="D4348" s="6" t="s">
        <v>299</v>
      </c>
    </row>
    <row r="4349" spans="1:4" x14ac:dyDescent="0.2">
      <c r="A4349" s="3">
        <v>4344</v>
      </c>
      <c r="D4349" s="6" t="s">
        <v>299</v>
      </c>
    </row>
    <row r="4350" spans="1:4" x14ac:dyDescent="0.2">
      <c r="A4350" s="3">
        <v>4345</v>
      </c>
      <c r="D4350" s="6" t="s">
        <v>299</v>
      </c>
    </row>
    <row r="4351" spans="1:4" x14ac:dyDescent="0.2">
      <c r="A4351">
        <v>4346</v>
      </c>
      <c r="B4351" s="14">
        <f>'EstRev 6-11'!D209</f>
        <v>0</v>
      </c>
      <c r="C4351" s="5">
        <f t="shared" si="49"/>
        <v>4346</v>
      </c>
      <c r="D4351" s="6"/>
    </row>
    <row r="4352" spans="1:4" x14ac:dyDescent="0.2">
      <c r="A4352">
        <v>4347</v>
      </c>
      <c r="B4352" s="14">
        <f>'EstRev 6-11'!E209</f>
        <v>0</v>
      </c>
      <c r="C4352" s="5">
        <f t="shared" si="49"/>
        <v>4347</v>
      </c>
      <c r="D4352" s="6"/>
    </row>
    <row r="4353" spans="1:4" x14ac:dyDescent="0.2">
      <c r="A4353">
        <v>4348</v>
      </c>
      <c r="B4353" s="14">
        <f>'EstRev 6-11'!G209</f>
        <v>0</v>
      </c>
      <c r="C4353" s="5">
        <f t="shared" si="49"/>
        <v>4348</v>
      </c>
      <c r="D4353" s="6"/>
    </row>
    <row r="4354" spans="1:4" x14ac:dyDescent="0.2">
      <c r="A4354">
        <v>4349</v>
      </c>
      <c r="B4354" s="14">
        <f>'EstRev 6-11'!H209</f>
        <v>0</v>
      </c>
      <c r="C4354" s="5">
        <f t="shared" si="49"/>
        <v>4349</v>
      </c>
      <c r="D4354" s="6"/>
    </row>
    <row r="4355" spans="1:4" x14ac:dyDescent="0.2">
      <c r="A4355">
        <v>4350</v>
      </c>
      <c r="B4355" s="14">
        <f>'EstRev 6-11'!D211</f>
        <v>0</v>
      </c>
      <c r="C4355" s="5">
        <f t="shared" si="49"/>
        <v>4350</v>
      </c>
      <c r="D4355" s="6"/>
    </row>
    <row r="4356" spans="1:4" x14ac:dyDescent="0.2">
      <c r="A4356">
        <v>4351</v>
      </c>
      <c r="B4356" s="14">
        <f>'EstRev 6-11'!E211</f>
        <v>0</v>
      </c>
      <c r="C4356" s="5">
        <f t="shared" si="49"/>
        <v>4351</v>
      </c>
      <c r="D4356" s="6"/>
    </row>
    <row r="4357" spans="1:4" x14ac:dyDescent="0.2">
      <c r="A4357">
        <v>4352</v>
      </c>
      <c r="B4357" s="14">
        <f>'EstRev 6-11'!G211</f>
        <v>0</v>
      </c>
      <c r="C4357" s="5">
        <f t="shared" si="49"/>
        <v>4352</v>
      </c>
      <c r="D4357" s="6"/>
    </row>
    <row r="4358" spans="1:4" x14ac:dyDescent="0.2">
      <c r="A4358">
        <v>4353</v>
      </c>
      <c r="B4358" s="14">
        <f>'EstRev 6-11'!H211</f>
        <v>0</v>
      </c>
      <c r="C4358" s="5">
        <f t="shared" si="49"/>
        <v>4353</v>
      </c>
      <c r="D4358" s="6"/>
    </row>
    <row r="4359" spans="1:4" x14ac:dyDescent="0.2">
      <c r="A4359">
        <v>4354</v>
      </c>
      <c r="B4359" s="14">
        <f>'EstRev 6-11'!D258</f>
        <v>17000</v>
      </c>
      <c r="C4359" s="5">
        <f t="shared" si="49"/>
        <v>-12646</v>
      </c>
      <c r="D4359" s="6"/>
    </row>
    <row r="4360" spans="1:4" x14ac:dyDescent="0.2">
      <c r="A4360">
        <v>4355</v>
      </c>
      <c r="B4360" s="14">
        <f>'EstRev 6-11'!G258</f>
        <v>0</v>
      </c>
      <c r="C4360" s="5">
        <f t="shared" ref="C4360:C4392" si="50">A4360-B4360</f>
        <v>4355</v>
      </c>
      <c r="D4360" s="6"/>
    </row>
    <row r="4361" spans="1:4" x14ac:dyDescent="0.2">
      <c r="A4361">
        <v>4356</v>
      </c>
      <c r="B4361" s="14">
        <f>'EstRev 6-11'!H258</f>
        <v>0</v>
      </c>
      <c r="C4361" s="5">
        <f t="shared" si="50"/>
        <v>4356</v>
      </c>
      <c r="D4361" s="6"/>
    </row>
    <row r="4362" spans="1:4" x14ac:dyDescent="0.2">
      <c r="A4362">
        <v>4357</v>
      </c>
      <c r="B4362" s="14">
        <f>'EstRev 6-11'!D261</f>
        <v>57000</v>
      </c>
      <c r="C4362" s="5">
        <f t="shared" si="50"/>
        <v>-52643</v>
      </c>
      <c r="D4362" s="6"/>
    </row>
    <row r="4363" spans="1:4" x14ac:dyDescent="0.2">
      <c r="A4363">
        <v>4358</v>
      </c>
      <c r="B4363" s="14">
        <f>'EstRev 6-11'!E261</f>
        <v>0</v>
      </c>
      <c r="C4363" s="5">
        <f t="shared" si="50"/>
        <v>4358</v>
      </c>
      <c r="D4363" s="6"/>
    </row>
    <row r="4364" spans="1:4" x14ac:dyDescent="0.2">
      <c r="A4364">
        <v>4359</v>
      </c>
      <c r="B4364" s="14">
        <f>'EstRev 6-11'!G261</f>
        <v>0</v>
      </c>
      <c r="C4364" s="5">
        <f t="shared" si="50"/>
        <v>4359</v>
      </c>
      <c r="D4364" s="6"/>
    </row>
    <row r="4365" spans="1:4" x14ac:dyDescent="0.2">
      <c r="A4365">
        <v>4360</v>
      </c>
      <c r="B4365" s="14">
        <f>'EstRev 6-11'!H261</f>
        <v>0</v>
      </c>
      <c r="C4365" s="5">
        <f t="shared" si="50"/>
        <v>4360</v>
      </c>
      <c r="D4365" s="6"/>
    </row>
    <row r="4366" spans="1:4" x14ac:dyDescent="0.2">
      <c r="A4366" s="3">
        <v>4361</v>
      </c>
      <c r="D4366" s="6" t="s">
        <v>299</v>
      </c>
    </row>
    <row r="4367" spans="1:4" x14ac:dyDescent="0.2">
      <c r="A4367" s="3">
        <v>4362</v>
      </c>
      <c r="D4367" s="6" t="s">
        <v>299</v>
      </c>
    </row>
    <row r="4368" spans="1:4" x14ac:dyDescent="0.2">
      <c r="A4368" s="3">
        <v>4363</v>
      </c>
      <c r="D4368" s="6" t="s">
        <v>299</v>
      </c>
    </row>
    <row r="4369" spans="1:4" x14ac:dyDescent="0.2">
      <c r="A4369" s="3">
        <v>4364</v>
      </c>
      <c r="D4369" s="6" t="s">
        <v>299</v>
      </c>
    </row>
    <row r="4370" spans="1:4" x14ac:dyDescent="0.2">
      <c r="A4370" s="3">
        <v>4365</v>
      </c>
      <c r="D4370" s="6" t="s">
        <v>299</v>
      </c>
    </row>
    <row r="4371" spans="1:4" x14ac:dyDescent="0.2">
      <c r="A4371" s="3">
        <v>4366</v>
      </c>
      <c r="D4371" s="6" t="s">
        <v>299</v>
      </c>
    </row>
    <row r="4372" spans="1:4" x14ac:dyDescent="0.2">
      <c r="A4372" s="3">
        <v>4367</v>
      </c>
      <c r="D4372" s="6" t="s">
        <v>299</v>
      </c>
    </row>
    <row r="4373" spans="1:4" x14ac:dyDescent="0.2">
      <c r="A4373" s="3">
        <v>4368</v>
      </c>
      <c r="D4373" s="6" t="s">
        <v>299</v>
      </c>
    </row>
    <row r="4374" spans="1:4" x14ac:dyDescent="0.2">
      <c r="A4374" s="3">
        <v>4369</v>
      </c>
      <c r="D4374" s="6" t="s">
        <v>299</v>
      </c>
    </row>
    <row r="4375" spans="1:4" x14ac:dyDescent="0.2">
      <c r="A4375" s="3">
        <v>4370</v>
      </c>
      <c r="D4375" s="6" t="s">
        <v>299</v>
      </c>
    </row>
    <row r="4376" spans="1:4" x14ac:dyDescent="0.2">
      <c r="A4376" s="3">
        <v>4371</v>
      </c>
      <c r="D4376" s="6" t="s">
        <v>299</v>
      </c>
    </row>
    <row r="4377" spans="1:4" x14ac:dyDescent="0.2">
      <c r="A4377" s="3">
        <v>4372</v>
      </c>
      <c r="D4377" s="6" t="s">
        <v>299</v>
      </c>
    </row>
    <row r="4378" spans="1:4" x14ac:dyDescent="0.2">
      <c r="A4378">
        <v>4373</v>
      </c>
      <c r="B4378" s="14">
        <f>'EstRev 6-11'!F269</f>
        <v>0</v>
      </c>
      <c r="C4378" s="5">
        <f t="shared" si="50"/>
        <v>4373</v>
      </c>
      <c r="D4378" s="6"/>
    </row>
    <row r="4379" spans="1:4" x14ac:dyDescent="0.2">
      <c r="A4379">
        <v>4374</v>
      </c>
      <c r="B4379" s="14">
        <f>'EstRev 6-11'!J269</f>
        <v>0</v>
      </c>
      <c r="C4379" s="5">
        <f t="shared" si="50"/>
        <v>4374</v>
      </c>
      <c r="D4379" s="6"/>
    </row>
    <row r="4380" spans="1:4" x14ac:dyDescent="0.2">
      <c r="A4380" s="3">
        <v>4375</v>
      </c>
      <c r="D4380" s="6" t="s">
        <v>299</v>
      </c>
    </row>
    <row r="4381" spans="1:4" x14ac:dyDescent="0.2">
      <c r="A4381" s="3">
        <v>4376</v>
      </c>
      <c r="D4381" s="6"/>
    </row>
    <row r="4382" spans="1:4" x14ac:dyDescent="0.2">
      <c r="A4382" s="3">
        <v>4377</v>
      </c>
      <c r="D4382" s="6" t="s">
        <v>299</v>
      </c>
    </row>
    <row r="4383" spans="1:4" x14ac:dyDescent="0.2">
      <c r="A4383" s="3">
        <v>4378</v>
      </c>
      <c r="D4383" s="6" t="s">
        <v>299</v>
      </c>
    </row>
    <row r="4384" spans="1:4" x14ac:dyDescent="0.2">
      <c r="A4384" s="3">
        <v>4379</v>
      </c>
      <c r="D4384" s="6" t="s">
        <v>299</v>
      </c>
    </row>
    <row r="4385" spans="1:4" x14ac:dyDescent="0.2">
      <c r="A4385">
        <v>4380</v>
      </c>
      <c r="B4385" s="14">
        <f>'EstRev 6-11'!I268</f>
        <v>1380000</v>
      </c>
      <c r="C4385" s="5">
        <f t="shared" si="50"/>
        <v>-1375620</v>
      </c>
      <c r="D4385" s="6"/>
    </row>
    <row r="4386" spans="1:4" x14ac:dyDescent="0.2">
      <c r="A4386">
        <v>4381</v>
      </c>
      <c r="B4386" s="14">
        <f>'EstRev 6-11'!L268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299</v>
      </c>
    </row>
    <row r="4390" spans="1:4" x14ac:dyDescent="0.2">
      <c r="A4390">
        <v>4385</v>
      </c>
      <c r="B4390" s="14">
        <f>'EstRev 6-11'!E266</f>
        <v>0</v>
      </c>
      <c r="C4390" s="5">
        <f t="shared" si="50"/>
        <v>4385</v>
      </c>
      <c r="D4390" s="6"/>
    </row>
    <row r="4391" spans="1:4" x14ac:dyDescent="0.2">
      <c r="A4391">
        <v>4386</v>
      </c>
      <c r="B4391" s="14">
        <f>'EstRev 6-11'!G266</f>
        <v>0</v>
      </c>
      <c r="C4391" s="5">
        <f t="shared" si="50"/>
        <v>4386</v>
      </c>
      <c r="D4391" s="6"/>
    </row>
    <row r="4392" spans="1:4" x14ac:dyDescent="0.2">
      <c r="A4392">
        <v>4387</v>
      </c>
      <c r="B4392" s="14">
        <f>'EstRev 6-11'!H266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6-11'!D106</f>
        <v>0</v>
      </c>
      <c r="C4705" s="5">
        <f t="shared" ref="C4705:C4743" si="51">A4705-B4705</f>
        <v>4700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298</v>
      </c>
    </row>
    <row r="4712" spans="1:4" x14ac:dyDescent="0.2">
      <c r="A4712" s="3">
        <v>4707</v>
      </c>
      <c r="D4712" s="6" t="s">
        <v>298</v>
      </c>
    </row>
    <row r="4713" spans="1:4" x14ac:dyDescent="0.2">
      <c r="A4713" s="3">
        <v>4708</v>
      </c>
      <c r="D4713" s="6" t="s">
        <v>298</v>
      </c>
    </row>
    <row r="4714" spans="1:4" x14ac:dyDescent="0.2">
      <c r="A4714" s="3">
        <v>4709</v>
      </c>
      <c r="D4714" s="6" t="s">
        <v>298</v>
      </c>
    </row>
    <row r="4715" spans="1:4" x14ac:dyDescent="0.2">
      <c r="A4715">
        <v>4710</v>
      </c>
      <c r="B4715" s="14">
        <f>'EstRev 6-11'!H138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298</v>
      </c>
    </row>
    <row r="4735" spans="1:4" x14ac:dyDescent="0.2">
      <c r="A4735" s="3">
        <v>4730</v>
      </c>
      <c r="D4735" s="6" t="s">
        <v>298</v>
      </c>
    </row>
    <row r="4736" spans="1:4" x14ac:dyDescent="0.2">
      <c r="A4736">
        <v>4731</v>
      </c>
      <c r="B4736" s="14">
        <f>'EstRev 6-11'!D170</f>
        <v>3000</v>
      </c>
      <c r="C4736" s="5">
        <f t="shared" si="51"/>
        <v>1731</v>
      </c>
      <c r="D4736" s="6"/>
    </row>
    <row r="4737" spans="1:4" x14ac:dyDescent="0.2">
      <c r="A4737">
        <v>4732</v>
      </c>
      <c r="B4737" s="14">
        <f>'EstRev 6-11'!E170</f>
        <v>0</v>
      </c>
      <c r="C4737" s="5">
        <f t="shared" si="51"/>
        <v>4732</v>
      </c>
      <c r="D4737" s="6"/>
    </row>
    <row r="4738" spans="1:4" x14ac:dyDescent="0.2">
      <c r="A4738">
        <v>4733</v>
      </c>
      <c r="B4738" s="14">
        <f>'EstRev 6-11'!F170</f>
        <v>0</v>
      </c>
      <c r="C4738" s="5">
        <f t="shared" si="51"/>
        <v>4733</v>
      </c>
      <c r="D4738" s="6"/>
    </row>
    <row r="4739" spans="1:4" x14ac:dyDescent="0.2">
      <c r="A4739">
        <v>4734</v>
      </c>
      <c r="B4739" s="14">
        <f>'EstRev 6-11'!G170</f>
        <v>0</v>
      </c>
      <c r="C4739" s="5">
        <f t="shared" si="51"/>
        <v>4734</v>
      </c>
      <c r="D4739" s="6"/>
    </row>
    <row r="4740" spans="1:4" x14ac:dyDescent="0.2">
      <c r="A4740">
        <v>4735</v>
      </c>
      <c r="B4740" s="14">
        <f>'EstRev 6-11'!H170</f>
        <v>0</v>
      </c>
      <c r="C4740" s="5">
        <f t="shared" si="51"/>
        <v>4735</v>
      </c>
      <c r="D4740" s="6"/>
    </row>
    <row r="4741" spans="1:4" x14ac:dyDescent="0.2">
      <c r="A4741">
        <v>4736</v>
      </c>
      <c r="B4741" s="14">
        <f>'EstRev 6-11'!I170</f>
        <v>0</v>
      </c>
      <c r="C4741" s="5">
        <f t="shared" si="51"/>
        <v>4736</v>
      </c>
      <c r="D4741" s="6"/>
    </row>
    <row r="4742" spans="1:4" x14ac:dyDescent="0.2">
      <c r="A4742" s="3">
        <v>4737</v>
      </c>
      <c r="D4742" s="6" t="s">
        <v>298</v>
      </c>
    </row>
    <row r="4743" spans="1:4" x14ac:dyDescent="0.2">
      <c r="A4743">
        <v>4738</v>
      </c>
      <c r="B4743" s="14">
        <f>'EstRev 6-11'!L170</f>
        <v>0</v>
      </c>
      <c r="C4743" s="5">
        <f t="shared" si="51"/>
        <v>4738</v>
      </c>
      <c r="D4743" s="6"/>
    </row>
    <row r="4744" spans="1:4" x14ac:dyDescent="0.2">
      <c r="A4744" s="3">
        <v>4739</v>
      </c>
      <c r="D4744" s="6" t="s">
        <v>298</v>
      </c>
    </row>
    <row r="4745" spans="1:4" x14ac:dyDescent="0.2">
      <c r="A4745">
        <v>4740</v>
      </c>
      <c r="B4745" s="14">
        <f>'EstRev 6-11'!D181</f>
        <v>0</v>
      </c>
      <c r="C4745" s="5">
        <f t="shared" ref="C4745:C4799" si="52">A4745-B4745</f>
        <v>4740</v>
      </c>
      <c r="D4745" s="6"/>
    </row>
    <row r="4746" spans="1:4" x14ac:dyDescent="0.2">
      <c r="A4746">
        <v>4741</v>
      </c>
      <c r="B4746" s="14">
        <f>'EstRev 6-11'!E181</f>
        <v>0</v>
      </c>
      <c r="C4746" s="5">
        <f t="shared" si="52"/>
        <v>4741</v>
      </c>
      <c r="D4746" s="6"/>
    </row>
    <row r="4747" spans="1:4" x14ac:dyDescent="0.2">
      <c r="A4747" s="3">
        <v>4742</v>
      </c>
      <c r="D4747" s="7"/>
    </row>
    <row r="4748" spans="1:4" x14ac:dyDescent="0.2">
      <c r="A4748">
        <v>4743</v>
      </c>
      <c r="B4748" s="14">
        <f>'EstRev 6-11'!G181</f>
        <v>0</v>
      </c>
      <c r="C4748" s="5">
        <f t="shared" si="52"/>
        <v>4743</v>
      </c>
      <c r="D4748" s="6"/>
    </row>
    <row r="4749" spans="1:4" x14ac:dyDescent="0.2">
      <c r="A4749">
        <v>4744</v>
      </c>
      <c r="B4749" s="14">
        <f>'EstRev 6-11'!D182</f>
        <v>0</v>
      </c>
      <c r="C4749" s="5">
        <f t="shared" si="52"/>
        <v>4744</v>
      </c>
      <c r="D4749" s="6"/>
    </row>
    <row r="4750" spans="1:4" x14ac:dyDescent="0.2">
      <c r="A4750">
        <v>4745</v>
      </c>
      <c r="B4750" s="14">
        <f>'EstRev 6-11'!E182</f>
        <v>0</v>
      </c>
      <c r="C4750" s="5">
        <f t="shared" si="52"/>
        <v>4745</v>
      </c>
      <c r="D4750" s="6"/>
    </row>
    <row r="4751" spans="1:4" x14ac:dyDescent="0.2">
      <c r="A4751" s="3">
        <v>4746</v>
      </c>
      <c r="D4751" s="7"/>
    </row>
    <row r="4752" spans="1:4" x14ac:dyDescent="0.2">
      <c r="A4752">
        <v>4747</v>
      </c>
      <c r="B4752" s="14">
        <f>'EstRev 6-11'!G182</f>
        <v>0</v>
      </c>
      <c r="C4752" s="5">
        <f t="shared" si="52"/>
        <v>4747</v>
      </c>
      <c r="D4752" s="7"/>
    </row>
    <row r="4753" spans="1:4" x14ac:dyDescent="0.2">
      <c r="A4753" s="3">
        <v>4748</v>
      </c>
      <c r="D4753" s="6"/>
    </row>
    <row r="4754" spans="1:4" x14ac:dyDescent="0.2">
      <c r="A4754">
        <v>4749</v>
      </c>
      <c r="B4754" s="14">
        <f>'EstRev 6-11'!H181</f>
        <v>0</v>
      </c>
      <c r="C4754" s="5">
        <f t="shared" si="52"/>
        <v>4749</v>
      </c>
      <c r="D4754" s="6"/>
    </row>
    <row r="4755" spans="1:4" x14ac:dyDescent="0.2">
      <c r="A4755">
        <v>4750</v>
      </c>
      <c r="B4755" s="14">
        <f>'EstRev 6-11'!I181</f>
        <v>0</v>
      </c>
      <c r="C4755" s="5">
        <f t="shared" si="52"/>
        <v>4750</v>
      </c>
      <c r="D4755" s="6"/>
    </row>
    <row r="4756" spans="1:4" x14ac:dyDescent="0.2">
      <c r="A4756" s="3">
        <v>4751</v>
      </c>
      <c r="D4756" s="7"/>
    </row>
    <row r="4757" spans="1:4" x14ac:dyDescent="0.2">
      <c r="A4757">
        <v>4752</v>
      </c>
      <c r="B4757" s="14">
        <f>'EstRev 6-11'!H182</f>
        <v>0</v>
      </c>
      <c r="C4757" s="5">
        <f t="shared" si="52"/>
        <v>4752</v>
      </c>
      <c r="D4757" s="6"/>
    </row>
    <row r="4758" spans="1:4" x14ac:dyDescent="0.2">
      <c r="A4758">
        <v>4753</v>
      </c>
      <c r="B4758" s="14">
        <f>'EstRev 6-11'!I182</f>
        <v>0</v>
      </c>
      <c r="C4758" s="5">
        <f t="shared" si="52"/>
        <v>4753</v>
      </c>
      <c r="D4758" s="6"/>
    </row>
    <row r="4759" spans="1:4" x14ac:dyDescent="0.2">
      <c r="A4759" s="3">
        <v>4754</v>
      </c>
      <c r="D4759" s="7"/>
    </row>
    <row r="4760" spans="1:4" x14ac:dyDescent="0.2">
      <c r="A4760">
        <v>4755</v>
      </c>
      <c r="B4760" s="14">
        <f>'EstRev 6-11'!L182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298</v>
      </c>
    </row>
    <row r="4776" spans="1:4" x14ac:dyDescent="0.2">
      <c r="A4776" s="3">
        <v>4771</v>
      </c>
      <c r="D4776" s="6" t="s">
        <v>298</v>
      </c>
    </row>
    <row r="4777" spans="1:4" x14ac:dyDescent="0.2">
      <c r="A4777" s="3">
        <v>4772</v>
      </c>
      <c r="D4777" s="6" t="s">
        <v>298</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298</v>
      </c>
    </row>
    <row r="4791" spans="1:4" x14ac:dyDescent="0.2">
      <c r="A4791" s="3">
        <v>4786</v>
      </c>
      <c r="D4791" s="6" t="s">
        <v>298</v>
      </c>
    </row>
    <row r="4792" spans="1:4" x14ac:dyDescent="0.2">
      <c r="A4792" s="3">
        <v>4787</v>
      </c>
      <c r="D4792" s="6" t="s">
        <v>298</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6-11'!D267</f>
        <v>445500</v>
      </c>
      <c r="C4796" s="5">
        <f t="shared" si="52"/>
        <v>-440709</v>
      </c>
      <c r="D4796" s="6"/>
    </row>
    <row r="4797" spans="1:4" x14ac:dyDescent="0.2">
      <c r="A4797">
        <v>4792</v>
      </c>
      <c r="B4797" s="14">
        <f>'EstRev 6-11'!E267</f>
        <v>0</v>
      </c>
      <c r="C4797" s="5">
        <f t="shared" si="52"/>
        <v>4792</v>
      </c>
      <c r="D4797" s="6"/>
    </row>
    <row r="4798" spans="1:4" x14ac:dyDescent="0.2">
      <c r="A4798" s="3">
        <v>4793</v>
      </c>
      <c r="D4798" s="7"/>
    </row>
    <row r="4799" spans="1:4" x14ac:dyDescent="0.2">
      <c r="A4799">
        <v>4794</v>
      </c>
      <c r="B4799" s="14">
        <f>'EstRev 6-11'!G267</f>
        <v>0</v>
      </c>
      <c r="C4799" s="5">
        <f t="shared" si="52"/>
        <v>4794</v>
      </c>
      <c r="D4799" s="6"/>
    </row>
    <row r="4800" spans="1:4" x14ac:dyDescent="0.2">
      <c r="A4800" s="3">
        <v>4795</v>
      </c>
      <c r="D4800" s="7"/>
    </row>
    <row r="4801" spans="1:4" x14ac:dyDescent="0.2">
      <c r="A4801" s="3">
        <v>4796</v>
      </c>
      <c r="D4801" s="6" t="s">
        <v>298</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299</v>
      </c>
    </row>
    <row r="4807" spans="1:4" x14ac:dyDescent="0.2">
      <c r="A4807" s="3">
        <v>4802</v>
      </c>
      <c r="D4807" s="7"/>
    </row>
    <row r="4808" spans="1:4" x14ac:dyDescent="0.2">
      <c r="A4808">
        <v>4803</v>
      </c>
      <c r="B4808" s="14">
        <f>'EstRev 6-11'!H267</f>
        <v>0</v>
      </c>
      <c r="C4808" s="5">
        <f t="shared" ref="C4808:C4866" si="53">A4808-B4808</f>
        <v>4803</v>
      </c>
      <c r="D4808" s="6"/>
    </row>
    <row r="4809" spans="1:4" x14ac:dyDescent="0.2">
      <c r="A4809">
        <v>4804</v>
      </c>
      <c r="B4809" s="14">
        <f>'EstRev 6-11'!I267</f>
        <v>1380000</v>
      </c>
      <c r="C4809" s="5">
        <f t="shared" si="53"/>
        <v>-1375196</v>
      </c>
      <c r="D4809" s="6"/>
    </row>
    <row r="4810" spans="1:4" x14ac:dyDescent="0.2">
      <c r="A4810" s="3">
        <v>4805</v>
      </c>
      <c r="D4810" s="7"/>
    </row>
    <row r="4811" spans="1:4" x14ac:dyDescent="0.2">
      <c r="A4811" s="3">
        <v>4806</v>
      </c>
      <c r="D4811" s="7"/>
    </row>
    <row r="4812" spans="1:4" x14ac:dyDescent="0.2">
      <c r="A4812">
        <v>4807</v>
      </c>
      <c r="B4812" s="14">
        <f>'EstRev 6-11'!L267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298</v>
      </c>
    </row>
    <row r="4817" spans="1:4" x14ac:dyDescent="0.2">
      <c r="A4817" s="3">
        <v>4812</v>
      </c>
      <c r="D4817" s="7"/>
    </row>
    <row r="4818" spans="1:4" x14ac:dyDescent="0.2">
      <c r="A4818" s="3">
        <v>4813</v>
      </c>
      <c r="D4818" s="6" t="s">
        <v>654</v>
      </c>
    </row>
    <row r="4819" spans="1:4" x14ac:dyDescent="0.2">
      <c r="A4819" s="3">
        <v>4814</v>
      </c>
      <c r="D4819" s="18" t="s">
        <v>654</v>
      </c>
    </row>
    <row r="4820" spans="1:4" x14ac:dyDescent="0.2">
      <c r="A4820" s="3">
        <v>4815</v>
      </c>
      <c r="D4820" s="18" t="s">
        <v>654</v>
      </c>
    </row>
    <row r="4821" spans="1:4" x14ac:dyDescent="0.2">
      <c r="A4821" s="3">
        <v>4816</v>
      </c>
      <c r="D4821" s="18" t="s">
        <v>654</v>
      </c>
    </row>
    <row r="4822" spans="1:4" x14ac:dyDescent="0.2">
      <c r="A4822" s="3">
        <v>4817</v>
      </c>
      <c r="D4822" s="18" t="s">
        <v>654</v>
      </c>
    </row>
    <row r="4823" spans="1:4" x14ac:dyDescent="0.2">
      <c r="A4823" s="3">
        <v>4818</v>
      </c>
      <c r="D4823" s="18" t="s">
        <v>654</v>
      </c>
    </row>
    <row r="4824" spans="1:4" x14ac:dyDescent="0.2">
      <c r="A4824" s="3">
        <v>4819</v>
      </c>
      <c r="D4824" s="6" t="s">
        <v>298</v>
      </c>
    </row>
    <row r="4825" spans="1:4" x14ac:dyDescent="0.2">
      <c r="A4825" s="3">
        <v>4820</v>
      </c>
      <c r="D4825" s="6" t="s">
        <v>654</v>
      </c>
    </row>
    <row r="4826" spans="1:4" x14ac:dyDescent="0.2">
      <c r="A4826">
        <v>4821</v>
      </c>
      <c r="B4826" s="14">
        <f>'EstRev 6-11'!D123</f>
        <v>0</v>
      </c>
      <c r="C4826" s="5">
        <f t="shared" si="53"/>
        <v>4821</v>
      </c>
      <c r="D4826" s="6"/>
    </row>
    <row r="4827" spans="1:4" x14ac:dyDescent="0.2">
      <c r="A4827">
        <v>4822</v>
      </c>
      <c r="B4827" s="14">
        <f>'EstRev 6-11'!E123</f>
        <v>0</v>
      </c>
      <c r="C4827" s="5">
        <f t="shared" si="53"/>
        <v>4822</v>
      </c>
      <c r="D4827" s="6"/>
    </row>
    <row r="4828" spans="1:4" x14ac:dyDescent="0.2">
      <c r="A4828">
        <v>4823</v>
      </c>
      <c r="B4828" s="14">
        <f>'EstRev 6-11'!F123</f>
        <v>0</v>
      </c>
      <c r="C4828" s="5">
        <f t="shared" si="53"/>
        <v>4823</v>
      </c>
      <c r="D4828" s="6"/>
    </row>
    <row r="4829" spans="1:4" x14ac:dyDescent="0.2">
      <c r="A4829">
        <v>4824</v>
      </c>
      <c r="B4829" s="14">
        <f>'EstRev 6-11'!G123</f>
        <v>0</v>
      </c>
      <c r="C4829" s="5">
        <f t="shared" si="53"/>
        <v>4824</v>
      </c>
      <c r="D4829" s="6"/>
    </row>
    <row r="4830" spans="1:4" x14ac:dyDescent="0.2">
      <c r="A4830">
        <v>4825</v>
      </c>
      <c r="B4830" s="14">
        <f>'EstRev 6-11'!H123</f>
        <v>0</v>
      </c>
      <c r="C4830" s="5">
        <f t="shared" si="53"/>
        <v>4825</v>
      </c>
      <c r="D4830" s="6"/>
    </row>
    <row r="4831" spans="1:4" x14ac:dyDescent="0.2">
      <c r="A4831">
        <v>4826</v>
      </c>
      <c r="B4831" s="14">
        <f>'EstRev 6-11'!I123</f>
        <v>0</v>
      </c>
      <c r="C4831" s="5">
        <f t="shared" si="53"/>
        <v>4826</v>
      </c>
      <c r="D4831" s="6"/>
    </row>
    <row r="4832" spans="1:4" x14ac:dyDescent="0.2">
      <c r="A4832" s="3">
        <v>4827</v>
      </c>
      <c r="D4832" s="6" t="s">
        <v>298</v>
      </c>
    </row>
    <row r="4833" spans="1:4" x14ac:dyDescent="0.2">
      <c r="A4833">
        <v>4828</v>
      </c>
      <c r="B4833" s="14">
        <f>'EstRev 6-11'!L123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298</v>
      </c>
    </row>
    <row r="4844" spans="1:4" x14ac:dyDescent="0.2">
      <c r="A4844" s="3">
        <v>4839</v>
      </c>
      <c r="D4844" s="6" t="s">
        <v>298</v>
      </c>
    </row>
    <row r="4845" spans="1:4" x14ac:dyDescent="0.2">
      <c r="A4845" s="3">
        <v>4840</v>
      </c>
      <c r="D4845" s="6" t="s">
        <v>298</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6-11'!D164</f>
        <v>0</v>
      </c>
      <c r="C4859" s="5">
        <f t="shared" si="53"/>
        <v>4854</v>
      </c>
      <c r="D4859" s="6"/>
    </row>
    <row r="4860" spans="1:4" x14ac:dyDescent="0.2">
      <c r="A4860">
        <v>4855</v>
      </c>
      <c r="B4860" s="14">
        <f>'EstRev 6-11'!E164</f>
        <v>0</v>
      </c>
      <c r="C4860" s="5">
        <f t="shared" si="53"/>
        <v>4855</v>
      </c>
      <c r="D4860" s="6"/>
    </row>
    <row r="4861" spans="1:4" x14ac:dyDescent="0.2">
      <c r="A4861">
        <v>4856</v>
      </c>
      <c r="B4861" s="14">
        <f>'EstRev 6-11'!F164</f>
        <v>0</v>
      </c>
      <c r="C4861" s="5">
        <f t="shared" si="53"/>
        <v>4856</v>
      </c>
      <c r="D4861" s="6"/>
    </row>
    <row r="4862" spans="1:4" x14ac:dyDescent="0.2">
      <c r="A4862">
        <v>4857</v>
      </c>
      <c r="B4862" s="14">
        <f>'EstRev 6-11'!G164</f>
        <v>0</v>
      </c>
      <c r="C4862" s="5">
        <f t="shared" si="53"/>
        <v>4857</v>
      </c>
      <c r="D4862" s="6"/>
    </row>
    <row r="4863" spans="1:4" x14ac:dyDescent="0.2">
      <c r="A4863">
        <v>4858</v>
      </c>
      <c r="B4863" s="14">
        <f>'EstRev 6-11'!H164</f>
        <v>0</v>
      </c>
      <c r="C4863" s="5">
        <f t="shared" si="53"/>
        <v>4858</v>
      </c>
      <c r="D4863" s="6"/>
    </row>
    <row r="4864" spans="1:4" x14ac:dyDescent="0.2">
      <c r="A4864">
        <v>4859</v>
      </c>
      <c r="B4864" s="14">
        <f>'EstRev 6-11'!I164</f>
        <v>0</v>
      </c>
      <c r="C4864" s="5">
        <f t="shared" si="53"/>
        <v>4859</v>
      </c>
      <c r="D4864" s="6"/>
    </row>
    <row r="4865" spans="1:4" x14ac:dyDescent="0.2">
      <c r="A4865" s="3">
        <v>4860</v>
      </c>
      <c r="D4865" s="7"/>
    </row>
    <row r="4866" spans="1:4" x14ac:dyDescent="0.2">
      <c r="A4866">
        <v>4861</v>
      </c>
      <c r="B4866" s="14">
        <f>'EstRev 6-11'!L164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298</v>
      </c>
    </row>
    <row r="4877" spans="1:4" x14ac:dyDescent="0.2">
      <c r="A4877" s="3">
        <v>4872</v>
      </c>
      <c r="D4877" s="6" t="s">
        <v>298</v>
      </c>
    </row>
    <row r="4878" spans="1:4" x14ac:dyDescent="0.2">
      <c r="A4878" s="3">
        <v>4873</v>
      </c>
      <c r="D4878" s="6" t="s">
        <v>298</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6-11'!D176</f>
        <v>0</v>
      </c>
      <c r="C4888" s="5">
        <f t="shared" ref="C4888:C4895" si="54">A4888-B4888</f>
        <v>4883</v>
      </c>
      <c r="D4888" s="6"/>
    </row>
    <row r="4889" spans="1:4" x14ac:dyDescent="0.2">
      <c r="A4889">
        <v>4884</v>
      </c>
      <c r="B4889" s="14">
        <f>'EstRev 6-11'!E176</f>
        <v>0</v>
      </c>
      <c r="C4889" s="5">
        <f t="shared" si="54"/>
        <v>4884</v>
      </c>
      <c r="D4889" s="6"/>
    </row>
    <row r="4890" spans="1:4" x14ac:dyDescent="0.2">
      <c r="A4890">
        <v>4885</v>
      </c>
      <c r="B4890" s="14">
        <f>'EstRev 6-11'!G176</f>
        <v>0</v>
      </c>
      <c r="C4890" s="5">
        <f t="shared" si="54"/>
        <v>4885</v>
      </c>
      <c r="D4890" s="6"/>
    </row>
    <row r="4891" spans="1:4" x14ac:dyDescent="0.2">
      <c r="A4891">
        <v>4886</v>
      </c>
      <c r="B4891" s="14">
        <f>'EstRev 6-11'!H176</f>
        <v>0</v>
      </c>
      <c r="C4891" s="5">
        <f t="shared" si="54"/>
        <v>4886</v>
      </c>
      <c r="D4891" s="6"/>
    </row>
    <row r="4892" spans="1:4" x14ac:dyDescent="0.2">
      <c r="A4892">
        <v>4887</v>
      </c>
      <c r="B4892" s="14">
        <f>'EstRev 6-11'!I176</f>
        <v>0</v>
      </c>
      <c r="C4892" s="5">
        <f t="shared" si="54"/>
        <v>4887</v>
      </c>
      <c r="D4892" s="6"/>
    </row>
    <row r="4893" spans="1:4" x14ac:dyDescent="0.2">
      <c r="A4893">
        <v>4888</v>
      </c>
      <c r="B4893" s="14">
        <f>'EstRev 6-11'!L176</f>
        <v>0</v>
      </c>
      <c r="C4893" s="5">
        <f t="shared" si="54"/>
        <v>4888</v>
      </c>
      <c r="D4893" s="6"/>
    </row>
    <row r="4894" spans="1:4" x14ac:dyDescent="0.2">
      <c r="A4894">
        <v>4889</v>
      </c>
      <c r="B4894" s="14">
        <f>'EstRev 6-11'!I177</f>
        <v>0</v>
      </c>
      <c r="C4894" s="5">
        <f t="shared" si="54"/>
        <v>4889</v>
      </c>
      <c r="D4894" s="6"/>
    </row>
    <row r="4895" spans="1:4" x14ac:dyDescent="0.2">
      <c r="A4895">
        <v>4890</v>
      </c>
      <c r="B4895" s="14">
        <f>'EstRev 6-11'!L177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298</v>
      </c>
    </row>
    <row r="4944" spans="1:4" x14ac:dyDescent="0.2">
      <c r="A4944">
        <v>4939</v>
      </c>
      <c r="B4944" s="14">
        <f>'EstRev 6-11'!L171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607</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298</v>
      </c>
    </row>
    <row r="4960" spans="1:4" x14ac:dyDescent="0.2">
      <c r="A4960" s="3">
        <v>4955</v>
      </c>
      <c r="D4960" s="6" t="s">
        <v>298</v>
      </c>
    </row>
    <row r="4961" spans="1:4" x14ac:dyDescent="0.2">
      <c r="A4961" s="3">
        <v>4956</v>
      </c>
      <c r="D4961" s="6" t="s">
        <v>298</v>
      </c>
    </row>
    <row r="4962" spans="1:4" x14ac:dyDescent="0.2">
      <c r="A4962" s="3">
        <v>4957</v>
      </c>
      <c r="D4962" s="6" t="s">
        <v>298</v>
      </c>
    </row>
    <row r="4963" spans="1:4" x14ac:dyDescent="0.2">
      <c r="A4963" s="3">
        <v>4958</v>
      </c>
      <c r="D4963" s="6" t="s">
        <v>298</v>
      </c>
    </row>
    <row r="4964" spans="1:4" x14ac:dyDescent="0.2">
      <c r="A4964" s="3">
        <v>4959</v>
      </c>
      <c r="D4964" s="6" t="s">
        <v>298</v>
      </c>
    </row>
    <row r="4965" spans="1:4" x14ac:dyDescent="0.2">
      <c r="A4965" s="3">
        <v>4960</v>
      </c>
      <c r="D4965" s="6" t="s">
        <v>298</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298</v>
      </c>
    </row>
    <row r="4970" spans="1:4" x14ac:dyDescent="0.2">
      <c r="A4970">
        <v>4965</v>
      </c>
      <c r="B4970" s="14">
        <f>'EstRev 6-11'!D6</f>
        <v>0</v>
      </c>
      <c r="C4970" s="5">
        <f t="shared" si="55"/>
        <v>4965</v>
      </c>
      <c r="D4970" s="6"/>
    </row>
    <row r="4971" spans="1:4" x14ac:dyDescent="0.2">
      <c r="A4971">
        <v>4966</v>
      </c>
      <c r="B4971" s="14">
        <f>'EstRev 6-11'!G106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6-11'!D162</f>
        <v>0</v>
      </c>
      <c r="C5000" s="5">
        <f t="shared" ref="C5000:C5063" si="56">A5000-B5000</f>
        <v>4995</v>
      </c>
      <c r="D5000" s="6"/>
    </row>
    <row r="5001" spans="1:4" x14ac:dyDescent="0.2">
      <c r="A5001">
        <v>4996</v>
      </c>
      <c r="B5001" s="14">
        <f>'EstRev 6-11'!E162</f>
        <v>0</v>
      </c>
      <c r="C5001" s="5">
        <f t="shared" si="56"/>
        <v>4996</v>
      </c>
      <c r="D5001" s="6"/>
    </row>
    <row r="5002" spans="1:4" x14ac:dyDescent="0.2">
      <c r="A5002">
        <v>4997</v>
      </c>
      <c r="B5002" s="14">
        <f>'EstRev 6-11'!G162</f>
        <v>0</v>
      </c>
      <c r="C5002" s="5">
        <f t="shared" si="56"/>
        <v>4997</v>
      </c>
      <c r="D5002" s="6"/>
    </row>
    <row r="5003" spans="1:4" x14ac:dyDescent="0.2">
      <c r="A5003">
        <v>4998</v>
      </c>
      <c r="B5003" s="14">
        <f>'EstRev 6-11'!H162</f>
        <v>0</v>
      </c>
      <c r="C5003" s="5">
        <f t="shared" si="56"/>
        <v>4998</v>
      </c>
      <c r="D5003" s="6"/>
    </row>
    <row r="5004" spans="1:4" x14ac:dyDescent="0.2">
      <c r="A5004">
        <v>4999</v>
      </c>
      <c r="B5004" s="14">
        <f>'EstRev 6-11'!D163</f>
        <v>0</v>
      </c>
      <c r="C5004" s="5">
        <f t="shared" si="56"/>
        <v>4999</v>
      </c>
      <c r="D5004" s="6"/>
    </row>
    <row r="5005" spans="1:4" x14ac:dyDescent="0.2">
      <c r="A5005">
        <v>5000</v>
      </c>
      <c r="B5005" s="14">
        <f>'EstRev 6-11'!D5</f>
        <v>64546000</v>
      </c>
      <c r="C5005" s="5">
        <f t="shared" si="56"/>
        <v>-64541000</v>
      </c>
      <c r="D5005" s="6"/>
    </row>
    <row r="5006" spans="1:4" x14ac:dyDescent="0.2">
      <c r="A5006" s="3">
        <v>5001</v>
      </c>
      <c r="D5006" s="6" t="s">
        <v>298</v>
      </c>
    </row>
    <row r="5007" spans="1:4" x14ac:dyDescent="0.2">
      <c r="A5007">
        <v>5002</v>
      </c>
      <c r="B5007" s="14">
        <f>'EstRev 6-11'!D7</f>
        <v>320000</v>
      </c>
      <c r="C5007" s="5">
        <f t="shared" si="56"/>
        <v>-314998</v>
      </c>
      <c r="D5007" s="6"/>
    </row>
    <row r="5008" spans="1:4" x14ac:dyDescent="0.2">
      <c r="A5008">
        <v>5003</v>
      </c>
      <c r="B5008" s="14">
        <f>'EstRev 6-11'!D10</f>
        <v>0</v>
      </c>
      <c r="C5008" s="5">
        <f t="shared" si="56"/>
        <v>5003</v>
      </c>
      <c r="D5008" s="6"/>
    </row>
    <row r="5009" spans="1:4" x14ac:dyDescent="0.2">
      <c r="A5009">
        <v>5004</v>
      </c>
      <c r="B5009" s="14">
        <f>'EstRev 6-11'!D11</f>
        <v>0</v>
      </c>
      <c r="C5009" s="5">
        <f t="shared" si="56"/>
        <v>5004</v>
      </c>
      <c r="D5009" s="6"/>
    </row>
    <row r="5010" spans="1:4" x14ac:dyDescent="0.2">
      <c r="A5010">
        <v>5005</v>
      </c>
      <c r="B5010" s="14">
        <f>'EstRev 6-11'!D12</f>
        <v>64866000</v>
      </c>
      <c r="C5010" s="5">
        <f t="shared" si="56"/>
        <v>-64860995</v>
      </c>
      <c r="D5010" s="6"/>
    </row>
    <row r="5011" spans="1:4" x14ac:dyDescent="0.2">
      <c r="A5011">
        <v>5006</v>
      </c>
      <c r="B5011" s="14">
        <f>'EstRev 6-11'!D14</f>
        <v>0</v>
      </c>
      <c r="C5011" s="5">
        <f t="shared" si="56"/>
        <v>5006</v>
      </c>
      <c r="D5011" s="6"/>
    </row>
    <row r="5012" spans="1:4" x14ac:dyDescent="0.2">
      <c r="A5012">
        <v>5007</v>
      </c>
      <c r="B5012" s="14">
        <f>'EstRev 6-11'!D15</f>
        <v>0</v>
      </c>
      <c r="C5012" s="5">
        <f t="shared" si="56"/>
        <v>5007</v>
      </c>
      <c r="D5012" s="6"/>
    </row>
    <row r="5013" spans="1:4" x14ac:dyDescent="0.2">
      <c r="A5013">
        <v>5008</v>
      </c>
      <c r="B5013" s="14">
        <f>'EstRev 6-11'!D16</f>
        <v>3967000</v>
      </c>
      <c r="C5013" s="5">
        <f t="shared" si="56"/>
        <v>-3961992</v>
      </c>
      <c r="D5013" s="6"/>
    </row>
    <row r="5014" spans="1:4" x14ac:dyDescent="0.2">
      <c r="A5014">
        <v>5009</v>
      </c>
      <c r="B5014" s="14">
        <f>'EstRev 6-11'!D17</f>
        <v>0</v>
      </c>
      <c r="C5014" s="5">
        <f t="shared" si="56"/>
        <v>5009</v>
      </c>
      <c r="D5014" s="6"/>
    </row>
    <row r="5015" spans="1:4" x14ac:dyDescent="0.2">
      <c r="A5015">
        <v>5010</v>
      </c>
      <c r="B5015" s="14">
        <f>'EstRev 6-11'!D18</f>
        <v>3967000</v>
      </c>
      <c r="C5015" s="5">
        <f t="shared" si="56"/>
        <v>-3961990</v>
      </c>
      <c r="D5015" s="6"/>
    </row>
    <row r="5016" spans="1:4" x14ac:dyDescent="0.2">
      <c r="A5016">
        <v>5011</v>
      </c>
      <c r="B5016" s="14">
        <f>'EstRev 6-11'!D20</f>
        <v>0</v>
      </c>
      <c r="C5016" s="5">
        <f t="shared" si="56"/>
        <v>5011</v>
      </c>
      <c r="D5016" s="6"/>
    </row>
    <row r="5017" spans="1:4" x14ac:dyDescent="0.2">
      <c r="A5017">
        <v>5012</v>
      </c>
      <c r="B5017" s="14">
        <f>'EstRev 6-11'!D21</f>
        <v>0</v>
      </c>
      <c r="C5017" s="5">
        <f t="shared" si="56"/>
        <v>5012</v>
      </c>
      <c r="D5017" s="6"/>
    </row>
    <row r="5018" spans="1:4" x14ac:dyDescent="0.2">
      <c r="A5018">
        <v>5013</v>
      </c>
      <c r="B5018" s="14">
        <f>'EstRev 6-11'!D22</f>
        <v>100000</v>
      </c>
      <c r="C5018" s="5">
        <f t="shared" si="56"/>
        <v>-94987</v>
      </c>
      <c r="D5018" s="6"/>
    </row>
    <row r="5019" spans="1:4" x14ac:dyDescent="0.2">
      <c r="A5019">
        <v>5014</v>
      </c>
      <c r="B5019" s="14">
        <f>'EstRev 6-11'!D24</f>
        <v>120000</v>
      </c>
      <c r="C5019" s="5">
        <f t="shared" si="56"/>
        <v>-114986</v>
      </c>
      <c r="D5019" s="6"/>
    </row>
    <row r="5020" spans="1:4" x14ac:dyDescent="0.2">
      <c r="A5020">
        <v>5015</v>
      </c>
      <c r="B5020" s="14">
        <f>'EstRev 6-11'!D25</f>
        <v>0</v>
      </c>
      <c r="C5020" s="5">
        <f t="shared" si="56"/>
        <v>5015</v>
      </c>
      <c r="D5020" s="6"/>
    </row>
    <row r="5021" spans="1:4" x14ac:dyDescent="0.2">
      <c r="A5021">
        <v>5016</v>
      </c>
      <c r="B5021" s="14">
        <f>'EstRev 6-11'!D26</f>
        <v>0</v>
      </c>
      <c r="C5021" s="5">
        <f t="shared" si="56"/>
        <v>5016</v>
      </c>
      <c r="D5021" s="6"/>
    </row>
    <row r="5022" spans="1:4" x14ac:dyDescent="0.2">
      <c r="A5022">
        <v>5017</v>
      </c>
      <c r="B5022" s="14">
        <f>'EstRev 6-11'!D28</f>
        <v>0</v>
      </c>
      <c r="C5022" s="5">
        <f t="shared" si="56"/>
        <v>5017</v>
      </c>
      <c r="D5022" s="6"/>
    </row>
    <row r="5023" spans="1:4" x14ac:dyDescent="0.2">
      <c r="A5023">
        <v>5018</v>
      </c>
      <c r="B5023" s="14">
        <f>'EstRev 6-11'!D29</f>
        <v>0</v>
      </c>
      <c r="C5023" s="5">
        <f t="shared" si="56"/>
        <v>5018</v>
      </c>
      <c r="D5023" s="6"/>
    </row>
    <row r="5024" spans="1:4" x14ac:dyDescent="0.2">
      <c r="A5024">
        <v>5019</v>
      </c>
      <c r="B5024" s="14">
        <f>'EstRev 6-11'!D30</f>
        <v>0</v>
      </c>
      <c r="C5024" s="5">
        <f t="shared" si="56"/>
        <v>5019</v>
      </c>
      <c r="D5024" s="6"/>
    </row>
    <row r="5025" spans="1:4" x14ac:dyDescent="0.2">
      <c r="A5025">
        <v>5020</v>
      </c>
      <c r="B5025" s="14">
        <f>'EstRev 6-11'!D32</f>
        <v>0</v>
      </c>
      <c r="C5025" s="5">
        <f t="shared" si="56"/>
        <v>5020</v>
      </c>
      <c r="D5025" s="6"/>
    </row>
    <row r="5026" spans="1:4" x14ac:dyDescent="0.2">
      <c r="A5026">
        <v>5021</v>
      </c>
      <c r="B5026" s="14">
        <f>'EstRev 6-11'!D33</f>
        <v>0</v>
      </c>
      <c r="C5026" s="5">
        <f t="shared" si="56"/>
        <v>5021</v>
      </c>
      <c r="D5026" s="6"/>
    </row>
    <row r="5027" spans="1:4" x14ac:dyDescent="0.2">
      <c r="A5027">
        <v>5022</v>
      </c>
      <c r="B5027" s="14">
        <f>'EstRev 6-11'!D34</f>
        <v>0</v>
      </c>
      <c r="C5027" s="5">
        <f t="shared" si="56"/>
        <v>5022</v>
      </c>
      <c r="D5027" s="6"/>
    </row>
    <row r="5028" spans="1:4" x14ac:dyDescent="0.2">
      <c r="A5028">
        <v>5023</v>
      </c>
      <c r="B5028" s="14">
        <f>'EstRev 6-11'!D36</f>
        <v>120000</v>
      </c>
      <c r="C5028" s="5">
        <f t="shared" si="56"/>
        <v>-114977</v>
      </c>
      <c r="D5028" s="6"/>
    </row>
    <row r="5029" spans="1:4" x14ac:dyDescent="0.2">
      <c r="A5029">
        <v>5024</v>
      </c>
      <c r="B5029" s="14">
        <f>'EstRev 6-11'!D37</f>
        <v>0</v>
      </c>
      <c r="C5029" s="5">
        <f t="shared" si="56"/>
        <v>5024</v>
      </c>
      <c r="D5029" s="6"/>
    </row>
    <row r="5030" spans="1:4" x14ac:dyDescent="0.2">
      <c r="A5030">
        <v>5025</v>
      </c>
      <c r="B5030" s="14">
        <f>'EstRev 6-11'!D38</f>
        <v>0</v>
      </c>
      <c r="C5030" s="5">
        <f t="shared" si="56"/>
        <v>5025</v>
      </c>
      <c r="D5030" s="6"/>
    </row>
    <row r="5031" spans="1:4" x14ac:dyDescent="0.2">
      <c r="A5031">
        <v>5026</v>
      </c>
      <c r="B5031" s="14">
        <f>'EstRev 6-11'!D40</f>
        <v>340000</v>
      </c>
      <c r="C5031" s="5">
        <f t="shared" si="56"/>
        <v>-334974</v>
      </c>
      <c r="D5031" s="6"/>
    </row>
    <row r="5032" spans="1:4" x14ac:dyDescent="0.2">
      <c r="A5032">
        <v>5027</v>
      </c>
      <c r="B5032" s="14">
        <f>'EstRev 6-11'!D65</f>
        <v>50000</v>
      </c>
      <c r="C5032" s="5">
        <f t="shared" si="56"/>
        <v>-44973</v>
      </c>
      <c r="D5032" s="6"/>
    </row>
    <row r="5033" spans="1:4" x14ac:dyDescent="0.2">
      <c r="A5033">
        <v>5028</v>
      </c>
      <c r="B5033" s="14">
        <f>'EstRev 6-11'!D66</f>
        <v>0</v>
      </c>
      <c r="C5033" s="5">
        <f t="shared" si="56"/>
        <v>5028</v>
      </c>
      <c r="D5033" s="6"/>
    </row>
    <row r="5034" spans="1:4" x14ac:dyDescent="0.2">
      <c r="A5034">
        <v>5029</v>
      </c>
      <c r="B5034" s="14">
        <f>'EstRev 6-11'!D67</f>
        <v>50000</v>
      </c>
      <c r="C5034" s="5">
        <f t="shared" si="56"/>
        <v>-44971</v>
      </c>
      <c r="D5034" s="6"/>
    </row>
    <row r="5035" spans="1:4" x14ac:dyDescent="0.2">
      <c r="A5035">
        <v>5030</v>
      </c>
      <c r="B5035" s="14">
        <f>'EstRev 6-11'!D70</f>
        <v>10000</v>
      </c>
      <c r="C5035" s="5">
        <f t="shared" si="56"/>
        <v>-4970</v>
      </c>
      <c r="D5035" s="6"/>
    </row>
    <row r="5036" spans="1:4" x14ac:dyDescent="0.2">
      <c r="A5036">
        <v>5031</v>
      </c>
      <c r="B5036" s="14">
        <f>'EstRev 6-11'!D71</f>
        <v>340000</v>
      </c>
      <c r="C5036" s="5">
        <f t="shared" si="56"/>
        <v>-334969</v>
      </c>
      <c r="D5036" s="6"/>
    </row>
    <row r="5037" spans="1:4" x14ac:dyDescent="0.2">
      <c r="A5037">
        <v>5032</v>
      </c>
      <c r="B5037" s="14">
        <f>'EstRev 6-11'!D72</f>
        <v>33000</v>
      </c>
      <c r="C5037" s="5">
        <f t="shared" si="56"/>
        <v>-27968</v>
      </c>
      <c r="D5037" s="6"/>
    </row>
    <row r="5038" spans="1:4" x14ac:dyDescent="0.2">
      <c r="A5038">
        <v>5033</v>
      </c>
      <c r="B5038" s="14">
        <f>'EstRev 6-11'!D73</f>
        <v>80000</v>
      </c>
      <c r="C5038" s="5">
        <f t="shared" si="56"/>
        <v>-74967</v>
      </c>
      <c r="D5038" s="6"/>
    </row>
    <row r="5039" spans="1:4" x14ac:dyDescent="0.2">
      <c r="A5039">
        <v>5034</v>
      </c>
      <c r="B5039" s="14">
        <f>'EstRev 6-11'!D74</f>
        <v>56000</v>
      </c>
      <c r="C5039" s="5">
        <f t="shared" si="56"/>
        <v>-50966</v>
      </c>
      <c r="D5039" s="6"/>
    </row>
    <row r="5040" spans="1:4" x14ac:dyDescent="0.2">
      <c r="A5040">
        <v>5035</v>
      </c>
      <c r="B5040" s="14">
        <f>'EstRev 6-11'!D75</f>
        <v>619000</v>
      </c>
      <c r="C5040" s="5">
        <f t="shared" si="56"/>
        <v>-613965</v>
      </c>
      <c r="D5040" s="6"/>
    </row>
    <row r="5041" spans="1:4" x14ac:dyDescent="0.2">
      <c r="A5041">
        <v>5036</v>
      </c>
      <c r="B5041" s="14">
        <f>'EstRev 6-11'!D77</f>
        <v>25000</v>
      </c>
      <c r="C5041" s="5">
        <f t="shared" si="56"/>
        <v>-19964</v>
      </c>
      <c r="D5041" s="6"/>
    </row>
    <row r="5042" spans="1:4" x14ac:dyDescent="0.2">
      <c r="A5042">
        <v>5037</v>
      </c>
      <c r="B5042" s="14">
        <f>'EstRev 6-11'!D78</f>
        <v>0</v>
      </c>
      <c r="C5042" s="5">
        <f t="shared" si="56"/>
        <v>5037</v>
      </c>
      <c r="D5042" s="6"/>
    </row>
    <row r="5043" spans="1:4" x14ac:dyDescent="0.2">
      <c r="A5043">
        <v>5038</v>
      </c>
      <c r="B5043" s="14">
        <f>'EstRev 6-11'!D79</f>
        <v>872000</v>
      </c>
      <c r="C5043" s="5">
        <f t="shared" si="56"/>
        <v>-866962</v>
      </c>
      <c r="D5043" s="6"/>
    </row>
    <row r="5044" spans="1:4" x14ac:dyDescent="0.2">
      <c r="A5044">
        <v>5039</v>
      </c>
      <c r="B5044" s="14">
        <f>'EstRev 6-11'!D80</f>
        <v>0</v>
      </c>
      <c r="C5044" s="5">
        <f t="shared" si="56"/>
        <v>5039</v>
      </c>
      <c r="D5044" s="6"/>
    </row>
    <row r="5045" spans="1:4" x14ac:dyDescent="0.2">
      <c r="A5045">
        <v>5040</v>
      </c>
      <c r="B5045" s="14">
        <f>'EstRev 6-11'!D81</f>
        <v>0</v>
      </c>
      <c r="C5045" s="5">
        <f t="shared" si="56"/>
        <v>5040</v>
      </c>
      <c r="D5045" s="6"/>
    </row>
    <row r="5046" spans="1:4" x14ac:dyDescent="0.2">
      <c r="A5046">
        <v>5041</v>
      </c>
      <c r="B5046" s="14">
        <f>'EstRev 6-11'!D83</f>
        <v>897000</v>
      </c>
      <c r="C5046" s="5">
        <f t="shared" si="56"/>
        <v>-891959</v>
      </c>
      <c r="D5046" s="6"/>
    </row>
    <row r="5047" spans="1:4" x14ac:dyDescent="0.2">
      <c r="A5047">
        <v>5042</v>
      </c>
      <c r="B5047" s="14">
        <f>'EstRev 6-11'!D86</f>
        <v>0</v>
      </c>
      <c r="C5047" s="5">
        <f t="shared" si="56"/>
        <v>5042</v>
      </c>
      <c r="D5047" s="6"/>
    </row>
    <row r="5048" spans="1:4" x14ac:dyDescent="0.2">
      <c r="A5048">
        <v>5043</v>
      </c>
      <c r="B5048" s="14">
        <f>'EstRev 6-11'!D87</f>
        <v>0</v>
      </c>
      <c r="C5048" s="5">
        <f t="shared" si="56"/>
        <v>5043</v>
      </c>
      <c r="D5048" s="6"/>
    </row>
    <row r="5049" spans="1:4" x14ac:dyDescent="0.2">
      <c r="A5049">
        <v>5044</v>
      </c>
      <c r="B5049" s="14">
        <f>'EstRev 6-11'!D88</f>
        <v>0</v>
      </c>
      <c r="C5049" s="5">
        <f t="shared" si="56"/>
        <v>5044</v>
      </c>
      <c r="D5049" s="6"/>
    </row>
    <row r="5050" spans="1:4" x14ac:dyDescent="0.2">
      <c r="A5050">
        <v>5045</v>
      </c>
      <c r="B5050" s="14">
        <f>'EstRev 6-11'!D89</f>
        <v>0</v>
      </c>
      <c r="C5050" s="5">
        <f t="shared" si="56"/>
        <v>5045</v>
      </c>
      <c r="D5050" s="6"/>
    </row>
    <row r="5051" spans="1:4" x14ac:dyDescent="0.2">
      <c r="A5051">
        <v>5046</v>
      </c>
      <c r="B5051" s="14">
        <f>'EstRev 6-11'!D90</f>
        <v>0</v>
      </c>
      <c r="C5051" s="5">
        <f t="shared" si="56"/>
        <v>5046</v>
      </c>
      <c r="D5051" s="6"/>
    </row>
    <row r="5052" spans="1:4" x14ac:dyDescent="0.2">
      <c r="A5052">
        <v>5047</v>
      </c>
      <c r="B5052" s="14">
        <f>'EstRev 6-11'!D91</f>
        <v>0</v>
      </c>
      <c r="C5052" s="5">
        <f t="shared" si="56"/>
        <v>5047</v>
      </c>
      <c r="D5052" s="6"/>
    </row>
    <row r="5053" spans="1:4" x14ac:dyDescent="0.2">
      <c r="A5053">
        <v>5048</v>
      </c>
      <c r="B5053" s="14">
        <f>'EstRev 6-11'!D92</f>
        <v>0</v>
      </c>
      <c r="C5053" s="5">
        <f t="shared" si="56"/>
        <v>5048</v>
      </c>
      <c r="D5053" s="6"/>
    </row>
    <row r="5054" spans="1:4" x14ac:dyDescent="0.2">
      <c r="A5054">
        <v>5049</v>
      </c>
      <c r="B5054" s="14">
        <f>'EstRev 6-11'!D93</f>
        <v>0</v>
      </c>
      <c r="C5054" s="5">
        <f t="shared" si="56"/>
        <v>5049</v>
      </c>
      <c r="D5054" s="6"/>
    </row>
    <row r="5055" spans="1:4" x14ac:dyDescent="0.2">
      <c r="A5055">
        <v>5050</v>
      </c>
      <c r="B5055" s="14">
        <f>'EstRev 6-11'!D94</f>
        <v>0</v>
      </c>
      <c r="C5055" s="5">
        <f t="shared" si="56"/>
        <v>5050</v>
      </c>
      <c r="D5055" s="6"/>
    </row>
    <row r="5056" spans="1:4" x14ac:dyDescent="0.2">
      <c r="A5056">
        <v>5051</v>
      </c>
      <c r="B5056" s="14">
        <f>'EstRev 6-11'!D95</f>
        <v>0</v>
      </c>
      <c r="C5056" s="5">
        <f t="shared" si="56"/>
        <v>5051</v>
      </c>
      <c r="D5056" s="6"/>
    </row>
    <row r="5057" spans="1:4" x14ac:dyDescent="0.2">
      <c r="A5057">
        <v>5052</v>
      </c>
      <c r="B5057" s="14">
        <f>'EstRev 6-11'!D97</f>
        <v>0</v>
      </c>
      <c r="C5057" s="5">
        <f t="shared" si="56"/>
        <v>5052</v>
      </c>
      <c r="D5057" s="6"/>
    </row>
    <row r="5058" spans="1:4" x14ac:dyDescent="0.2">
      <c r="A5058">
        <v>5053</v>
      </c>
      <c r="B5058" s="14">
        <f>'EstRev 6-11'!D98</f>
        <v>0</v>
      </c>
      <c r="C5058" s="5">
        <f t="shared" si="56"/>
        <v>5053</v>
      </c>
      <c r="D5058" s="6"/>
    </row>
    <row r="5059" spans="1:4" x14ac:dyDescent="0.2">
      <c r="A5059">
        <v>5054</v>
      </c>
      <c r="B5059" s="14">
        <f>'EstRev 6-11'!D100</f>
        <v>550000</v>
      </c>
      <c r="C5059" s="5">
        <f t="shared" si="56"/>
        <v>-544946</v>
      </c>
      <c r="D5059" s="6"/>
    </row>
    <row r="5060" spans="1:4" x14ac:dyDescent="0.2">
      <c r="A5060">
        <v>5055</v>
      </c>
      <c r="B5060" s="14">
        <f>'EstRev 6-11'!D101</f>
        <v>0</v>
      </c>
      <c r="C5060" s="5">
        <f t="shared" si="56"/>
        <v>5055</v>
      </c>
      <c r="D5060" s="6"/>
    </row>
    <row r="5061" spans="1:4" x14ac:dyDescent="0.2">
      <c r="A5061">
        <v>5056</v>
      </c>
      <c r="B5061" s="14">
        <f>'EstRev 6-11'!D107</f>
        <v>0</v>
      </c>
      <c r="C5061" s="5">
        <f t="shared" si="56"/>
        <v>5056</v>
      </c>
      <c r="D5061" s="6"/>
    </row>
    <row r="5062" spans="1:4" x14ac:dyDescent="0.2">
      <c r="A5062">
        <v>5057</v>
      </c>
      <c r="B5062" s="14">
        <f>'EstRev 6-11'!D108</f>
        <v>0</v>
      </c>
      <c r="C5062" s="5">
        <f t="shared" si="56"/>
        <v>5057</v>
      </c>
      <c r="D5062" s="6"/>
    </row>
    <row r="5063" spans="1:4" x14ac:dyDescent="0.2">
      <c r="A5063">
        <v>5058</v>
      </c>
      <c r="B5063" s="14">
        <f>'EstRev 6-11'!D109</f>
        <v>460500</v>
      </c>
      <c r="C5063" s="5">
        <f t="shared" si="56"/>
        <v>-455442</v>
      </c>
      <c r="D5063" s="6"/>
    </row>
    <row r="5064" spans="1:4" x14ac:dyDescent="0.2">
      <c r="A5064">
        <v>5059</v>
      </c>
      <c r="B5064" s="14">
        <f>'EstRev 6-11'!D110</f>
        <v>1010500</v>
      </c>
      <c r="C5064" s="5">
        <f t="shared" ref="C5064:C5125" si="57">A5064-B5064</f>
        <v>-1005441</v>
      </c>
      <c r="D5064" s="6"/>
    </row>
    <row r="5065" spans="1:4" x14ac:dyDescent="0.2">
      <c r="A5065">
        <v>5060</v>
      </c>
      <c r="B5065" s="14">
        <f>'EstRev 6-11'!D111</f>
        <v>71749500</v>
      </c>
      <c r="C5065" s="5">
        <f t="shared" si="57"/>
        <v>-71744440</v>
      </c>
      <c r="D5065" s="6"/>
    </row>
    <row r="5066" spans="1:4" x14ac:dyDescent="0.2">
      <c r="A5066">
        <v>5061</v>
      </c>
      <c r="B5066" s="14">
        <f>'EstRev 6-11'!D114</f>
        <v>0</v>
      </c>
      <c r="C5066" s="5">
        <f t="shared" si="57"/>
        <v>5061</v>
      </c>
      <c r="D5066" s="6"/>
    </row>
    <row r="5067" spans="1:4" x14ac:dyDescent="0.2">
      <c r="A5067">
        <v>5062</v>
      </c>
      <c r="B5067" s="14">
        <f>'EstRev 6-11'!D115</f>
        <v>0</v>
      </c>
      <c r="C5067" s="5">
        <f t="shared" si="57"/>
        <v>5062</v>
      </c>
      <c r="D5067" s="6"/>
    </row>
    <row r="5068" spans="1:4" x14ac:dyDescent="0.2">
      <c r="A5068">
        <v>5063</v>
      </c>
      <c r="B5068" s="14">
        <f>'EstRev 6-11'!D116</f>
        <v>0</v>
      </c>
      <c r="C5068" s="5">
        <f t="shared" si="57"/>
        <v>5063</v>
      </c>
      <c r="D5068" s="6"/>
    </row>
    <row r="5069" spans="1:4" x14ac:dyDescent="0.2">
      <c r="A5069">
        <v>5064</v>
      </c>
      <c r="B5069" s="14">
        <f>'EstRev 6-11'!D117</f>
        <v>0</v>
      </c>
      <c r="C5069" s="5">
        <f t="shared" si="57"/>
        <v>5064</v>
      </c>
      <c r="D5069" s="6"/>
    </row>
    <row r="5070" spans="1:4" x14ac:dyDescent="0.2">
      <c r="A5070">
        <v>5065</v>
      </c>
      <c r="B5070" s="14">
        <f>'EstRev 6-11'!D120</f>
        <v>3000000</v>
      </c>
      <c r="C5070" s="5">
        <f t="shared" si="57"/>
        <v>-2994935</v>
      </c>
      <c r="D5070" s="6"/>
    </row>
    <row r="5071" spans="1:4" x14ac:dyDescent="0.2">
      <c r="A5071">
        <v>5066</v>
      </c>
      <c r="B5071" s="14">
        <f>'EstRev 6-11'!D121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6-11'!D124</f>
        <v>3000000</v>
      </c>
      <c r="C5076" s="5">
        <f t="shared" si="57"/>
        <v>-2994929</v>
      </c>
      <c r="D5076" s="6"/>
    </row>
    <row r="5077" spans="1:4" x14ac:dyDescent="0.2">
      <c r="A5077">
        <v>5072</v>
      </c>
      <c r="B5077" s="14">
        <f>'EstRev 6-11'!D127</f>
        <v>500000</v>
      </c>
      <c r="C5077" s="5">
        <f t="shared" si="57"/>
        <v>-494928</v>
      </c>
      <c r="D5077" s="6"/>
    </row>
    <row r="5078" spans="1:4" x14ac:dyDescent="0.2">
      <c r="A5078">
        <v>5073</v>
      </c>
      <c r="B5078" s="14">
        <f>'EstRev 6-11'!D128</f>
        <v>0</v>
      </c>
      <c r="C5078" s="5">
        <f t="shared" si="57"/>
        <v>5073</v>
      </c>
      <c r="D5078" s="6"/>
    </row>
    <row r="5079" spans="1:4" x14ac:dyDescent="0.2">
      <c r="A5079">
        <v>5074</v>
      </c>
      <c r="B5079" s="14">
        <f>'EstRev 6-11'!D129</f>
        <v>0</v>
      </c>
      <c r="C5079" s="5">
        <f t="shared" si="57"/>
        <v>5074</v>
      </c>
      <c r="D5079" s="6"/>
    </row>
    <row r="5080" spans="1:4" x14ac:dyDescent="0.2">
      <c r="A5080" s="3">
        <v>5075</v>
      </c>
      <c r="D5080" s="7"/>
    </row>
    <row r="5081" spans="1:4" x14ac:dyDescent="0.2">
      <c r="A5081">
        <v>5076</v>
      </c>
      <c r="B5081" s="14">
        <f>'EstRev 6-11'!D130</f>
        <v>70000</v>
      </c>
      <c r="C5081" s="5">
        <f t="shared" si="57"/>
        <v>-64924</v>
      </c>
      <c r="D5081" s="6"/>
    </row>
    <row r="5082" spans="1:4" x14ac:dyDescent="0.2">
      <c r="A5082" s="3">
        <v>5077</v>
      </c>
      <c r="D5082" s="7"/>
    </row>
    <row r="5083" spans="1:4" x14ac:dyDescent="0.2">
      <c r="A5083">
        <v>5078</v>
      </c>
      <c r="B5083" s="14">
        <f>'EstRev 6-11'!D131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6-11'!D132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6-11'!D134</f>
        <v>570000</v>
      </c>
      <c r="C5091" s="5">
        <f t="shared" si="57"/>
        <v>-564914</v>
      </c>
      <c r="D5091" s="6"/>
    </row>
    <row r="5092" spans="1:4" x14ac:dyDescent="0.2">
      <c r="A5092">
        <v>5087</v>
      </c>
      <c r="B5092" s="14">
        <f>'EstRev 6-11'!D136</f>
        <v>0</v>
      </c>
      <c r="C5092" s="5">
        <f t="shared" si="57"/>
        <v>5087</v>
      </c>
      <c r="D5092" s="6"/>
    </row>
    <row r="5093" spans="1:4" x14ac:dyDescent="0.2">
      <c r="A5093" s="3">
        <v>5088</v>
      </c>
      <c r="D5093" s="7"/>
    </row>
    <row r="5094" spans="1:4" x14ac:dyDescent="0.2">
      <c r="A5094" s="3">
        <v>5089</v>
      </c>
      <c r="D5094" s="6" t="s">
        <v>298</v>
      </c>
    </row>
    <row r="5095" spans="1:4" x14ac:dyDescent="0.2">
      <c r="A5095" s="3">
        <v>5090</v>
      </c>
      <c r="D5095" s="6" t="s">
        <v>298</v>
      </c>
    </row>
    <row r="5096" spans="1:4" x14ac:dyDescent="0.2">
      <c r="A5096">
        <v>5091</v>
      </c>
      <c r="B5096" s="14">
        <f>'EstRev 6-11'!D137</f>
        <v>116500</v>
      </c>
      <c r="C5096" s="5">
        <f t="shared" si="57"/>
        <v>-111409</v>
      </c>
      <c r="D5096" s="6"/>
    </row>
    <row r="5097" spans="1:4" x14ac:dyDescent="0.2">
      <c r="A5097">
        <v>5092</v>
      </c>
      <c r="B5097" s="14">
        <f>'EstRev 6-11'!D138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6-11'!D143</f>
        <v>116500</v>
      </c>
      <c r="C5105" s="5">
        <f t="shared" si="57"/>
        <v>-111400</v>
      </c>
      <c r="D5105" s="6"/>
    </row>
    <row r="5106" spans="1:4" x14ac:dyDescent="0.2">
      <c r="A5106" s="3">
        <v>5101</v>
      </c>
      <c r="D5106" s="7"/>
    </row>
    <row r="5107" spans="1:4" x14ac:dyDescent="0.2">
      <c r="A5107">
        <v>5102</v>
      </c>
      <c r="B5107" s="14">
        <f>'EstRev 6-11'!D145</f>
        <v>0</v>
      </c>
      <c r="C5107" s="5">
        <f t="shared" si="57"/>
        <v>5102</v>
      </c>
      <c r="D5107" s="6"/>
    </row>
    <row r="5108" spans="1:4" x14ac:dyDescent="0.2">
      <c r="A5108">
        <v>5103</v>
      </c>
      <c r="B5108" s="14">
        <f>'EstRev 6-11'!D146</f>
        <v>0</v>
      </c>
      <c r="C5108" s="5">
        <f t="shared" si="57"/>
        <v>5103</v>
      </c>
      <c r="D5108" s="6"/>
    </row>
    <row r="5109" spans="1:4" x14ac:dyDescent="0.2">
      <c r="A5109">
        <v>5104</v>
      </c>
      <c r="B5109" s="14">
        <f>'EstRev 6-11'!D147</f>
        <v>0</v>
      </c>
      <c r="C5109" s="5">
        <f t="shared" si="57"/>
        <v>5104</v>
      </c>
      <c r="D5109" s="6"/>
    </row>
    <row r="5110" spans="1:4" x14ac:dyDescent="0.2">
      <c r="A5110" s="3">
        <v>5105</v>
      </c>
      <c r="D5110" s="6" t="s">
        <v>298</v>
      </c>
    </row>
    <row r="5111" spans="1:4" x14ac:dyDescent="0.2">
      <c r="A5111">
        <v>5106</v>
      </c>
      <c r="B5111" s="14">
        <f>'EstRev 6-11'!D148</f>
        <v>10000</v>
      </c>
      <c r="C5111" s="5">
        <f t="shared" si="57"/>
        <v>-4894</v>
      </c>
      <c r="D5111" s="6"/>
    </row>
    <row r="5112" spans="1:4" x14ac:dyDescent="0.2">
      <c r="A5112">
        <v>5107</v>
      </c>
      <c r="B5112" s="14">
        <f>'EstRev 6-11'!D150</f>
        <v>15000</v>
      </c>
      <c r="C5112" s="5">
        <f t="shared" si="57"/>
        <v>-9893</v>
      </c>
      <c r="D5112" s="6"/>
    </row>
    <row r="5113" spans="1:4" x14ac:dyDescent="0.2">
      <c r="A5113" s="3">
        <v>5108</v>
      </c>
      <c r="D5113" s="7"/>
    </row>
    <row r="5114" spans="1:4" x14ac:dyDescent="0.2">
      <c r="A5114" s="3">
        <v>5109</v>
      </c>
      <c r="D5114" s="7"/>
    </row>
    <row r="5115" spans="1:4" x14ac:dyDescent="0.2">
      <c r="A5115">
        <v>5110</v>
      </c>
      <c r="B5115" s="14">
        <f>'EstRev 6-11'!D151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6-11'!D154</f>
        <v>0</v>
      </c>
      <c r="C5119" s="5">
        <f t="shared" si="57"/>
        <v>5114</v>
      </c>
      <c r="D5119" s="6"/>
    </row>
    <row r="5120" spans="1:4" x14ac:dyDescent="0.2">
      <c r="A5120" s="3">
        <v>5115</v>
      </c>
      <c r="D5120" s="7"/>
    </row>
    <row r="5121" spans="1:4" x14ac:dyDescent="0.2">
      <c r="A5121">
        <v>5116</v>
      </c>
      <c r="B5121" s="14">
        <f>'EstRev 6-11'!D155</f>
        <v>0</v>
      </c>
      <c r="C5121" s="5">
        <f t="shared" si="57"/>
        <v>5116</v>
      </c>
      <c r="D5121" s="6"/>
    </row>
    <row r="5122" spans="1:4" x14ac:dyDescent="0.2">
      <c r="A5122">
        <v>5117</v>
      </c>
      <c r="B5122" s="14">
        <f>'EstRev 6-11'!D157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6-11'!D158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6-11'!D159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6-11'!D160</f>
        <v>0</v>
      </c>
      <c r="C5138" s="5">
        <f t="shared" si="58"/>
        <v>5133</v>
      </c>
      <c r="D5138" s="6"/>
    </row>
    <row r="5139" spans="1:4" x14ac:dyDescent="0.2">
      <c r="A5139" s="3">
        <v>5134</v>
      </c>
      <c r="D5139" s="7"/>
    </row>
    <row r="5140" spans="1:4" x14ac:dyDescent="0.2">
      <c r="A5140">
        <v>5135</v>
      </c>
      <c r="B5140" s="14">
        <f>'EstRev 6-11'!D161</f>
        <v>0</v>
      </c>
      <c r="C5140" s="5">
        <f t="shared" si="58"/>
        <v>5135</v>
      </c>
      <c r="D5140" s="6"/>
    </row>
    <row r="5141" spans="1:4" x14ac:dyDescent="0.2">
      <c r="A5141" s="3">
        <v>5136</v>
      </c>
      <c r="D5141" s="7"/>
    </row>
    <row r="5142" spans="1:4" x14ac:dyDescent="0.2">
      <c r="A5142" s="3">
        <v>5137</v>
      </c>
      <c r="D5142" s="7"/>
    </row>
    <row r="5143" spans="1:4" x14ac:dyDescent="0.2">
      <c r="A5143" s="3">
        <v>5138</v>
      </c>
      <c r="D5143" s="6" t="s">
        <v>654</v>
      </c>
    </row>
    <row r="5144" spans="1:4" x14ac:dyDescent="0.2">
      <c r="A5144" s="3">
        <v>5139</v>
      </c>
      <c r="D5144" s="6" t="s">
        <v>654</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298</v>
      </c>
    </row>
    <row r="5152" spans="1:4" x14ac:dyDescent="0.2">
      <c r="A5152" s="3">
        <v>5147</v>
      </c>
      <c r="D5152" s="6" t="s">
        <v>298</v>
      </c>
    </row>
    <row r="5153" spans="1:4" x14ac:dyDescent="0.2">
      <c r="A5153" s="3">
        <v>5148</v>
      </c>
      <c r="D5153" s="6" t="s">
        <v>298</v>
      </c>
    </row>
    <row r="5154" spans="1:4" x14ac:dyDescent="0.2">
      <c r="A5154" s="3">
        <v>5149</v>
      </c>
      <c r="D5154" s="6" t="s">
        <v>298</v>
      </c>
    </row>
    <row r="5155" spans="1:4" x14ac:dyDescent="0.2">
      <c r="A5155" s="3">
        <v>5150</v>
      </c>
      <c r="D5155" s="6" t="s">
        <v>298</v>
      </c>
    </row>
    <row r="5156" spans="1:4" x14ac:dyDescent="0.2">
      <c r="A5156" s="3">
        <v>5151</v>
      </c>
      <c r="D5156" s="6" t="s">
        <v>298</v>
      </c>
    </row>
    <row r="5157" spans="1:4" x14ac:dyDescent="0.2">
      <c r="A5157" s="3">
        <v>5152</v>
      </c>
      <c r="D5157" s="6" t="s">
        <v>298</v>
      </c>
    </row>
    <row r="5158" spans="1:4" x14ac:dyDescent="0.2">
      <c r="A5158">
        <v>5153</v>
      </c>
      <c r="B5158" s="14">
        <f>'EstRev 6-11'!D171</f>
        <v>714500</v>
      </c>
      <c r="C5158" s="5">
        <f t="shared" si="58"/>
        <v>-709347</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6-11'!D172</f>
        <v>3714500</v>
      </c>
      <c r="C5167" s="5">
        <f t="shared" si="58"/>
        <v>-3709338</v>
      </c>
      <c r="D5167" s="6"/>
    </row>
    <row r="5168" spans="1:4" x14ac:dyDescent="0.2">
      <c r="A5168">
        <v>5163</v>
      </c>
      <c r="B5168" s="14">
        <f>'EstRev 6-11'!D175</f>
        <v>0</v>
      </c>
      <c r="C5168" s="5">
        <f t="shared" si="58"/>
        <v>5163</v>
      </c>
      <c r="D5168" s="6"/>
    </row>
    <row r="5169" spans="1:4" x14ac:dyDescent="0.2">
      <c r="A5169">
        <v>5164</v>
      </c>
      <c r="B5169" s="14">
        <f>'EstRev 6-11'!D177</f>
        <v>0</v>
      </c>
      <c r="C5169" s="5">
        <f t="shared" si="58"/>
        <v>5164</v>
      </c>
      <c r="D5169" s="6"/>
    </row>
    <row r="5170" spans="1:4" x14ac:dyDescent="0.2">
      <c r="A5170" s="3">
        <v>5165</v>
      </c>
      <c r="D5170" s="6" t="s">
        <v>298</v>
      </c>
    </row>
    <row r="5171" spans="1:4" x14ac:dyDescent="0.2">
      <c r="A5171" s="3">
        <v>5166</v>
      </c>
      <c r="D5171" s="6" t="s">
        <v>298</v>
      </c>
    </row>
    <row r="5172" spans="1:4" x14ac:dyDescent="0.2">
      <c r="A5172" s="3">
        <v>5167</v>
      </c>
      <c r="D5172" s="6" t="s">
        <v>298</v>
      </c>
    </row>
    <row r="5173" spans="1:4" x14ac:dyDescent="0.2">
      <c r="A5173" s="3">
        <v>5168</v>
      </c>
      <c r="D5173" s="6" t="s">
        <v>298</v>
      </c>
    </row>
    <row r="5174" spans="1:4" x14ac:dyDescent="0.2">
      <c r="A5174" s="4">
        <v>5169</v>
      </c>
      <c r="B5174" s="14">
        <f>'EstRev 6-11'!D179</f>
        <v>0</v>
      </c>
      <c r="C5174" s="5">
        <f t="shared" si="58"/>
        <v>5169</v>
      </c>
      <c r="D5174" s="6"/>
    </row>
    <row r="5175" spans="1:4" x14ac:dyDescent="0.2">
      <c r="A5175" s="4">
        <v>5170</v>
      </c>
      <c r="B5175" s="14">
        <f>'EstRev 6-11'!D180</f>
        <v>0</v>
      </c>
      <c r="C5175" s="5">
        <f t="shared" si="58"/>
        <v>5170</v>
      </c>
      <c r="D5175" s="6"/>
    </row>
    <row r="5176" spans="1:4" x14ac:dyDescent="0.2">
      <c r="A5176">
        <v>5171</v>
      </c>
      <c r="B5176" s="14">
        <f>'EstRev 6-11'!D183</f>
        <v>0</v>
      </c>
      <c r="C5176" s="5">
        <f t="shared" si="58"/>
        <v>5171</v>
      </c>
      <c r="D5176" s="6"/>
    </row>
    <row r="5177" spans="1:4" x14ac:dyDescent="0.2">
      <c r="A5177">
        <v>5172</v>
      </c>
      <c r="B5177" s="14">
        <f>'EstRev 6-11'!D186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6-11'!D193</f>
        <v>800000</v>
      </c>
      <c r="C5183" s="5">
        <f t="shared" si="58"/>
        <v>-794822</v>
      </c>
      <c r="D5183" s="6"/>
    </row>
    <row r="5184" spans="1:4" x14ac:dyDescent="0.2">
      <c r="A5184">
        <v>5179</v>
      </c>
      <c r="B5184" s="14">
        <f>'EstRev 6-11'!D194</f>
        <v>0</v>
      </c>
      <c r="C5184" s="5">
        <f t="shared" si="58"/>
        <v>5179</v>
      </c>
      <c r="D5184" s="6"/>
    </row>
    <row r="5185" spans="1:4" x14ac:dyDescent="0.2">
      <c r="A5185">
        <v>5180</v>
      </c>
      <c r="B5185" s="14">
        <f>'EstRev 6-11'!D195</f>
        <v>100000</v>
      </c>
      <c r="C5185" s="5">
        <f t="shared" si="58"/>
        <v>-94820</v>
      </c>
      <c r="D5185" s="6"/>
    </row>
    <row r="5186" spans="1:4" x14ac:dyDescent="0.2">
      <c r="A5186">
        <v>5181</v>
      </c>
      <c r="B5186" s="14">
        <f>'EstRev 6-11'!D196</f>
        <v>100000</v>
      </c>
      <c r="C5186" s="5">
        <f t="shared" si="58"/>
        <v>-94819</v>
      </c>
      <c r="D5186" s="6"/>
    </row>
    <row r="5187" spans="1:4" x14ac:dyDescent="0.2">
      <c r="A5187">
        <v>5182</v>
      </c>
      <c r="B5187" s="14">
        <f>'EstRev 6-11'!D197</f>
        <v>77000</v>
      </c>
      <c r="C5187" s="5">
        <f t="shared" si="58"/>
        <v>-71818</v>
      </c>
      <c r="D5187" s="6"/>
    </row>
    <row r="5188" spans="1:4" x14ac:dyDescent="0.2">
      <c r="A5188" s="3">
        <v>5183</v>
      </c>
      <c r="D5188" s="7"/>
    </row>
    <row r="5189" spans="1:4" x14ac:dyDescent="0.2">
      <c r="A5189" s="3">
        <v>5184</v>
      </c>
      <c r="D5189" s="7"/>
    </row>
    <row r="5190" spans="1:4" x14ac:dyDescent="0.2">
      <c r="A5190">
        <v>5185</v>
      </c>
      <c r="B5190" s="14">
        <f>'EstRev 6-11'!D200</f>
        <v>1077000</v>
      </c>
      <c r="C5190" s="5">
        <f t="shared" si="58"/>
        <v>-1071815</v>
      </c>
      <c r="D5190" s="6"/>
    </row>
    <row r="5191" spans="1:4" x14ac:dyDescent="0.2">
      <c r="A5191">
        <v>5186</v>
      </c>
      <c r="B5191" s="14">
        <f>'EstRev 6-11'!D202</f>
        <v>289000</v>
      </c>
      <c r="C5191" s="5">
        <f t="shared" si="58"/>
        <v>-283814</v>
      </c>
      <c r="D5191" s="6"/>
    </row>
    <row r="5192" spans="1:4" x14ac:dyDescent="0.2">
      <c r="A5192">
        <v>5187</v>
      </c>
      <c r="B5192" s="14">
        <f>'EstRev 6-11'!D203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299</v>
      </c>
    </row>
    <row r="5197" spans="1:4" x14ac:dyDescent="0.2">
      <c r="A5197" s="3">
        <v>5192</v>
      </c>
      <c r="B5197" s="16"/>
      <c r="D5197" s="6" t="s">
        <v>299</v>
      </c>
    </row>
    <row r="5198" spans="1:4" x14ac:dyDescent="0.2">
      <c r="A5198" s="3">
        <v>5193</v>
      </c>
      <c r="D5198" s="6" t="s">
        <v>654</v>
      </c>
    </row>
    <row r="5199" spans="1:4" x14ac:dyDescent="0.2">
      <c r="A5199">
        <v>5194</v>
      </c>
      <c r="B5199" s="14">
        <f>'EstRev 6-11'!D204</f>
        <v>0</v>
      </c>
      <c r="C5199" s="5">
        <f t="shared" si="59"/>
        <v>5194</v>
      </c>
      <c r="D5199" s="6"/>
    </row>
    <row r="5200" spans="1:4" x14ac:dyDescent="0.2">
      <c r="A5200">
        <v>5195</v>
      </c>
      <c r="B5200" s="14">
        <f>'EstRev 6-11'!D208</f>
        <v>0</v>
      </c>
      <c r="C5200" s="5">
        <f t="shared" si="59"/>
        <v>5195</v>
      </c>
      <c r="D5200" s="6"/>
    </row>
    <row r="5201" spans="1:4" x14ac:dyDescent="0.2">
      <c r="A5201" s="3">
        <v>5196</v>
      </c>
      <c r="D5201" s="6" t="s">
        <v>299</v>
      </c>
    </row>
    <row r="5202" spans="1:4" x14ac:dyDescent="0.2">
      <c r="A5202" s="3">
        <v>5197</v>
      </c>
      <c r="D5202" s="7"/>
    </row>
    <row r="5203" spans="1:4" x14ac:dyDescent="0.2">
      <c r="A5203" s="3">
        <v>5198</v>
      </c>
      <c r="D5203" s="7"/>
    </row>
    <row r="5204" spans="1:4" x14ac:dyDescent="0.2">
      <c r="A5204">
        <v>5199</v>
      </c>
      <c r="B5204" s="14">
        <f>'EstRev 6-11'!D206</f>
        <v>289000</v>
      </c>
      <c r="C5204" s="5">
        <f t="shared" si="59"/>
        <v>-283801</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6-11'!D213</f>
        <v>0</v>
      </c>
      <c r="C5218" s="5">
        <f t="shared" si="59"/>
        <v>5213</v>
      </c>
      <c r="D5218" s="6"/>
    </row>
    <row r="5219" spans="1:4" x14ac:dyDescent="0.2">
      <c r="A5219">
        <v>5214</v>
      </c>
      <c r="B5219" s="14">
        <f>'EstRev 6-11'!D214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6-11'!D215</f>
        <v>862000</v>
      </c>
      <c r="C5222" s="5">
        <f t="shared" si="59"/>
        <v>-856783</v>
      </c>
      <c r="D5222" s="6"/>
    </row>
    <row r="5223" spans="1:4" x14ac:dyDescent="0.2">
      <c r="A5223">
        <v>5218</v>
      </c>
      <c r="B5223" s="14">
        <f>'EstRev 6-11'!D216</f>
        <v>850000</v>
      </c>
      <c r="C5223" s="5">
        <f t="shared" si="59"/>
        <v>-844782</v>
      </c>
      <c r="D5223" s="6"/>
    </row>
    <row r="5224" spans="1:4" x14ac:dyDescent="0.2">
      <c r="A5224">
        <v>5219</v>
      </c>
      <c r="B5224" s="14">
        <f>'EstRev 6-11'!D217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6-11'!D219</f>
        <v>1712000</v>
      </c>
      <c r="C5230" s="5">
        <f t="shared" si="59"/>
        <v>-1706775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299</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299</v>
      </c>
    </row>
    <row r="5241" spans="1:4" x14ac:dyDescent="0.2">
      <c r="A5241" s="3">
        <v>5236</v>
      </c>
      <c r="D5241" s="6" t="s">
        <v>299</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6-11'!D221</f>
        <v>62500</v>
      </c>
      <c r="C5245" s="5">
        <f t="shared" si="59"/>
        <v>-57260</v>
      </c>
      <c r="D5245" s="6"/>
    </row>
    <row r="5246" spans="1:4" x14ac:dyDescent="0.2">
      <c r="A5246" s="3">
        <v>5241</v>
      </c>
      <c r="D5246" s="7"/>
    </row>
    <row r="5247" spans="1:4" x14ac:dyDescent="0.2">
      <c r="A5247" s="3">
        <v>5242</v>
      </c>
      <c r="D5247" s="7"/>
    </row>
    <row r="5248" spans="1:4" x14ac:dyDescent="0.2">
      <c r="A5248">
        <v>5243</v>
      </c>
      <c r="B5248" s="14">
        <f>'EstRev 6-11'!D223</f>
        <v>62500</v>
      </c>
      <c r="C5248" s="5">
        <f t="shared" si="59"/>
        <v>-57257</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6-11'!D224</f>
        <v>0</v>
      </c>
      <c r="C5254" s="5">
        <f t="shared" si="59"/>
        <v>5249</v>
      </c>
      <c r="D5254" s="6"/>
    </row>
    <row r="5255" spans="1:4" x14ac:dyDescent="0.2">
      <c r="A5255" s="3">
        <v>5250</v>
      </c>
      <c r="D5255" s="7"/>
    </row>
    <row r="5256" spans="1:4" x14ac:dyDescent="0.2">
      <c r="A5256">
        <v>5251</v>
      </c>
      <c r="B5256" s="14">
        <f>'EstRev 6-11'!D257</f>
        <v>0</v>
      </c>
      <c r="C5256" s="5">
        <f t="shared" ref="C5256:C5319" si="60">A5256-B5256</f>
        <v>5251</v>
      </c>
      <c r="D5256" s="6"/>
    </row>
    <row r="5257" spans="1:4" x14ac:dyDescent="0.2">
      <c r="A5257" s="3">
        <v>5252</v>
      </c>
      <c r="D5257" s="6" t="s">
        <v>654</v>
      </c>
    </row>
    <row r="5258" spans="1:4" x14ac:dyDescent="0.2">
      <c r="A5258" s="3">
        <v>5253</v>
      </c>
      <c r="D5258" s="7"/>
    </row>
    <row r="5259" spans="1:4" x14ac:dyDescent="0.2">
      <c r="A5259">
        <v>5254</v>
      </c>
      <c r="B5259" s="14">
        <f>'EstRev 6-11'!D259</f>
        <v>0</v>
      </c>
      <c r="C5259" s="5">
        <f t="shared" si="60"/>
        <v>5254</v>
      </c>
      <c r="D5259" s="6"/>
    </row>
    <row r="5260" spans="1:4" x14ac:dyDescent="0.2">
      <c r="A5260" s="3">
        <v>5255</v>
      </c>
      <c r="D5260" s="7"/>
    </row>
    <row r="5261" spans="1:4" x14ac:dyDescent="0.2">
      <c r="A5261">
        <v>5256</v>
      </c>
      <c r="B5261" s="14">
        <f>'EstRev 6-11'!D260</f>
        <v>0</v>
      </c>
      <c r="C5261" s="5">
        <f t="shared" si="60"/>
        <v>5256</v>
      </c>
      <c r="D5261" s="6"/>
    </row>
    <row r="5262" spans="1:4" x14ac:dyDescent="0.2">
      <c r="A5262" s="3">
        <v>5257</v>
      </c>
      <c r="D5262" s="7"/>
    </row>
    <row r="5263" spans="1:4" x14ac:dyDescent="0.2">
      <c r="A5263" s="3">
        <v>5258</v>
      </c>
      <c r="D5263" s="6" t="s">
        <v>299</v>
      </c>
    </row>
    <row r="5264" spans="1:4" x14ac:dyDescent="0.2">
      <c r="A5264">
        <v>5259</v>
      </c>
      <c r="B5264" s="14">
        <f>'EstRev 6-11'!D268</f>
        <v>3780000</v>
      </c>
      <c r="C5264" s="5">
        <f t="shared" si="60"/>
        <v>-3774741</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6-11'!D269</f>
        <v>3780000</v>
      </c>
      <c r="C5270" s="5">
        <f t="shared" si="60"/>
        <v>-3774735</v>
      </c>
      <c r="D5270" s="6"/>
    </row>
    <row r="5271" spans="1:4" x14ac:dyDescent="0.2">
      <c r="A5271">
        <v>5266</v>
      </c>
      <c r="B5271" s="14">
        <f>'EstRev 6-11'!D270</f>
        <v>79244000</v>
      </c>
      <c r="C5271" s="5">
        <f t="shared" si="60"/>
        <v>-79238734</v>
      </c>
      <c r="D5271" s="6"/>
    </row>
    <row r="5272" spans="1:4" x14ac:dyDescent="0.2">
      <c r="A5272">
        <v>5267</v>
      </c>
      <c r="B5272" s="14">
        <f>'EstRev 6-11'!E5</f>
        <v>7750000</v>
      </c>
      <c r="C5272" s="5">
        <f t="shared" si="60"/>
        <v>-7744733</v>
      </c>
      <c r="D5272" s="6"/>
    </row>
    <row r="5273" spans="1:4" x14ac:dyDescent="0.2">
      <c r="A5273" s="3">
        <v>5268</v>
      </c>
      <c r="D5273" s="6" t="s">
        <v>299</v>
      </c>
    </row>
    <row r="5274" spans="1:4" x14ac:dyDescent="0.2">
      <c r="A5274">
        <v>5269</v>
      </c>
      <c r="B5274" s="14">
        <f>'EstRev 6-11'!E6</f>
        <v>0</v>
      </c>
      <c r="C5274" s="5">
        <f t="shared" si="60"/>
        <v>5269</v>
      </c>
      <c r="D5274" s="6"/>
    </row>
    <row r="5275" spans="1:4" x14ac:dyDescent="0.2">
      <c r="A5275">
        <v>5270</v>
      </c>
      <c r="B5275" s="14">
        <f>'EstRev 6-11'!E7</f>
        <v>0</v>
      </c>
      <c r="C5275" s="5">
        <f t="shared" si="60"/>
        <v>5270</v>
      </c>
      <c r="D5275" s="6"/>
    </row>
    <row r="5276" spans="1:4" x14ac:dyDescent="0.2">
      <c r="A5276">
        <v>5271</v>
      </c>
      <c r="B5276" s="14">
        <f>'EstRev 6-11'!E9</f>
        <v>0</v>
      </c>
      <c r="C5276" s="5">
        <f t="shared" si="60"/>
        <v>5271</v>
      </c>
      <c r="D5276" s="6"/>
    </row>
    <row r="5277" spans="1:4" x14ac:dyDescent="0.2">
      <c r="A5277">
        <v>5272</v>
      </c>
      <c r="B5277" s="14">
        <f>'EstRev 6-11'!E11</f>
        <v>0</v>
      </c>
      <c r="C5277" s="5">
        <f t="shared" si="60"/>
        <v>5272</v>
      </c>
      <c r="D5277" s="6"/>
    </row>
    <row r="5278" spans="1:4" x14ac:dyDescent="0.2">
      <c r="A5278">
        <v>5273</v>
      </c>
      <c r="B5278" s="14">
        <f>'EstRev 6-11'!E12</f>
        <v>7750000</v>
      </c>
      <c r="C5278" s="5">
        <f t="shared" si="60"/>
        <v>-7744727</v>
      </c>
      <c r="D5278" s="6"/>
    </row>
    <row r="5279" spans="1:4" x14ac:dyDescent="0.2">
      <c r="A5279">
        <v>5274</v>
      </c>
      <c r="B5279" s="14">
        <f>'EstRev 6-11'!E14</f>
        <v>0</v>
      </c>
      <c r="C5279" s="5">
        <f t="shared" si="60"/>
        <v>5274</v>
      </c>
      <c r="D5279" s="6"/>
    </row>
    <row r="5280" spans="1:4" x14ac:dyDescent="0.2">
      <c r="A5280">
        <v>5275</v>
      </c>
      <c r="B5280" s="14">
        <f>'EstRev 6-11'!E15</f>
        <v>0</v>
      </c>
      <c r="C5280" s="5">
        <f t="shared" si="60"/>
        <v>5275</v>
      </c>
      <c r="D5280" s="6"/>
    </row>
    <row r="5281" spans="1:4" x14ac:dyDescent="0.2">
      <c r="A5281">
        <v>5276</v>
      </c>
      <c r="B5281" s="14">
        <f>'EstRev 6-11'!E16</f>
        <v>200000</v>
      </c>
      <c r="C5281" s="5">
        <f t="shared" si="60"/>
        <v>-194724</v>
      </c>
      <c r="D5281" s="6"/>
    </row>
    <row r="5282" spans="1:4" x14ac:dyDescent="0.2">
      <c r="A5282">
        <v>5277</v>
      </c>
      <c r="B5282" s="14">
        <f>'EstRev 6-11'!E17</f>
        <v>0</v>
      </c>
      <c r="C5282" s="5">
        <f t="shared" si="60"/>
        <v>5277</v>
      </c>
      <c r="D5282" s="6"/>
    </row>
    <row r="5283" spans="1:4" x14ac:dyDescent="0.2">
      <c r="A5283">
        <v>5278</v>
      </c>
      <c r="B5283" s="14">
        <f>'EstRev 6-11'!E18</f>
        <v>200000</v>
      </c>
      <c r="C5283" s="5">
        <f t="shared" si="60"/>
        <v>-194722</v>
      </c>
      <c r="D5283" s="6"/>
    </row>
    <row r="5284" spans="1:4" x14ac:dyDescent="0.2">
      <c r="A5284">
        <v>5279</v>
      </c>
      <c r="B5284" s="14">
        <f>'EstRev 6-11'!E65</f>
        <v>0</v>
      </c>
      <c r="C5284" s="5">
        <f t="shared" si="60"/>
        <v>5279</v>
      </c>
      <c r="D5284" s="6"/>
    </row>
    <row r="5285" spans="1:4" x14ac:dyDescent="0.2">
      <c r="A5285">
        <v>5280</v>
      </c>
      <c r="B5285" s="14">
        <f>'EstRev 6-11'!E66</f>
        <v>0</v>
      </c>
      <c r="C5285" s="5">
        <f t="shared" si="60"/>
        <v>5280</v>
      </c>
      <c r="D5285" s="6"/>
    </row>
    <row r="5286" spans="1:4" x14ac:dyDescent="0.2">
      <c r="A5286">
        <v>5281</v>
      </c>
      <c r="B5286" s="14">
        <f>'EstRev 6-11'!E67</f>
        <v>0</v>
      </c>
      <c r="C5286" s="5">
        <f t="shared" si="60"/>
        <v>5281</v>
      </c>
      <c r="D5286" s="6"/>
    </row>
    <row r="5287" spans="1:4" x14ac:dyDescent="0.2">
      <c r="A5287">
        <v>5282</v>
      </c>
      <c r="B5287" s="14">
        <f>'EstRev 6-11'!E77</f>
        <v>0</v>
      </c>
      <c r="C5287" s="5">
        <f t="shared" si="60"/>
        <v>5282</v>
      </c>
      <c r="D5287" s="6"/>
    </row>
    <row r="5288" spans="1:4" x14ac:dyDescent="0.2">
      <c r="A5288">
        <v>5283</v>
      </c>
      <c r="B5288" s="14">
        <f>'EstRev 6-11'!E78</f>
        <v>0</v>
      </c>
      <c r="C5288" s="5">
        <f t="shared" si="60"/>
        <v>5283</v>
      </c>
      <c r="D5288" s="6"/>
    </row>
    <row r="5289" spans="1:4" x14ac:dyDescent="0.2">
      <c r="A5289">
        <v>5284</v>
      </c>
      <c r="B5289" s="14">
        <f>'EstRev 6-11'!E79</f>
        <v>0</v>
      </c>
      <c r="C5289" s="5">
        <f t="shared" si="60"/>
        <v>5284</v>
      </c>
      <c r="D5289" s="6"/>
    </row>
    <row r="5290" spans="1:4" x14ac:dyDescent="0.2">
      <c r="A5290">
        <v>5285</v>
      </c>
      <c r="B5290" s="14">
        <f>'EstRev 6-11'!E80</f>
        <v>0</v>
      </c>
      <c r="C5290" s="5">
        <f t="shared" si="60"/>
        <v>5285</v>
      </c>
      <c r="D5290" s="6"/>
    </row>
    <row r="5291" spans="1:4" x14ac:dyDescent="0.2">
      <c r="A5291">
        <v>5286</v>
      </c>
      <c r="B5291" s="14">
        <f>'EstRev 6-11'!E81</f>
        <v>0</v>
      </c>
      <c r="C5291" s="5">
        <f t="shared" si="60"/>
        <v>5286</v>
      </c>
      <c r="D5291" s="6"/>
    </row>
    <row r="5292" spans="1:4" x14ac:dyDescent="0.2">
      <c r="A5292">
        <v>5287</v>
      </c>
      <c r="B5292" s="14">
        <f>'EstRev 6-11'!E83</f>
        <v>0</v>
      </c>
      <c r="C5292" s="5">
        <f t="shared" si="60"/>
        <v>5287</v>
      </c>
      <c r="D5292" s="6"/>
    </row>
    <row r="5293" spans="1:4" x14ac:dyDescent="0.2">
      <c r="A5293">
        <v>5288</v>
      </c>
      <c r="B5293" s="14">
        <f>'EstRev 6-11'!E97</f>
        <v>245000</v>
      </c>
      <c r="C5293" s="5">
        <f t="shared" si="60"/>
        <v>-239712</v>
      </c>
      <c r="D5293" s="6"/>
    </row>
    <row r="5294" spans="1:4" x14ac:dyDescent="0.2">
      <c r="A5294">
        <v>5289</v>
      </c>
      <c r="B5294" s="14">
        <f>'EstRev 6-11'!E98</f>
        <v>0</v>
      </c>
      <c r="C5294" s="5">
        <f t="shared" si="60"/>
        <v>5289</v>
      </c>
      <c r="D5294" s="6"/>
    </row>
    <row r="5295" spans="1:4" x14ac:dyDescent="0.2">
      <c r="A5295">
        <v>5290</v>
      </c>
      <c r="B5295" s="14">
        <f>'EstRev 6-11'!E100</f>
        <v>0</v>
      </c>
      <c r="C5295" s="5">
        <f t="shared" si="60"/>
        <v>5290</v>
      </c>
      <c r="D5295" s="6"/>
    </row>
    <row r="5296" spans="1:4" x14ac:dyDescent="0.2">
      <c r="A5296">
        <v>5291</v>
      </c>
      <c r="B5296" s="14">
        <f>'EstRev 6-11'!E101</f>
        <v>0</v>
      </c>
      <c r="C5296" s="5">
        <f t="shared" si="60"/>
        <v>5291</v>
      </c>
      <c r="D5296" s="6"/>
    </row>
    <row r="5297" spans="1:4" x14ac:dyDescent="0.2">
      <c r="A5297">
        <v>5292</v>
      </c>
      <c r="B5297" s="14">
        <f>'EstRev 6-11'!E106</f>
        <v>0</v>
      </c>
      <c r="C5297" s="5">
        <f t="shared" si="60"/>
        <v>5292</v>
      </c>
      <c r="D5297" s="6"/>
    </row>
    <row r="5298" spans="1:4" x14ac:dyDescent="0.2">
      <c r="A5298">
        <v>5293</v>
      </c>
      <c r="B5298" s="14">
        <f>'EstRev 6-11'!E109</f>
        <v>25000</v>
      </c>
      <c r="C5298" s="5">
        <f t="shared" si="60"/>
        <v>-19707</v>
      </c>
      <c r="D5298" s="6"/>
    </row>
    <row r="5299" spans="1:4" x14ac:dyDescent="0.2">
      <c r="A5299">
        <v>5294</v>
      </c>
      <c r="B5299" s="14">
        <f>'EstRev 6-11'!E110</f>
        <v>270000</v>
      </c>
      <c r="C5299" s="5">
        <f t="shared" si="60"/>
        <v>-264706</v>
      </c>
      <c r="D5299" s="6"/>
    </row>
    <row r="5300" spans="1:4" x14ac:dyDescent="0.2">
      <c r="A5300">
        <v>5295</v>
      </c>
      <c r="B5300" s="14">
        <f>'EstRev 6-11'!E111</f>
        <v>8220000</v>
      </c>
      <c r="C5300" s="5">
        <f t="shared" si="60"/>
        <v>-8214705</v>
      </c>
      <c r="D5300" s="6"/>
    </row>
    <row r="5301" spans="1:4" x14ac:dyDescent="0.2">
      <c r="A5301">
        <v>5296</v>
      </c>
      <c r="B5301" s="14">
        <f>'EstRev 6-11'!E114</f>
        <v>0</v>
      </c>
      <c r="C5301" s="5">
        <f t="shared" si="60"/>
        <v>5296</v>
      </c>
      <c r="D5301" s="6"/>
    </row>
    <row r="5302" spans="1:4" x14ac:dyDescent="0.2">
      <c r="A5302">
        <v>5297</v>
      </c>
      <c r="B5302" s="14">
        <f>'EstRev 6-11'!E115</f>
        <v>0</v>
      </c>
      <c r="C5302" s="5">
        <f t="shared" si="60"/>
        <v>5297</v>
      </c>
      <c r="D5302" s="6"/>
    </row>
    <row r="5303" spans="1:4" x14ac:dyDescent="0.2">
      <c r="A5303">
        <v>5298</v>
      </c>
      <c r="B5303" s="14">
        <f>'EstRev 6-11'!E116</f>
        <v>0</v>
      </c>
      <c r="C5303" s="5">
        <f t="shared" si="60"/>
        <v>5298</v>
      </c>
      <c r="D5303" s="6"/>
    </row>
    <row r="5304" spans="1:4" x14ac:dyDescent="0.2">
      <c r="A5304">
        <v>5299</v>
      </c>
      <c r="B5304" s="14">
        <f>'EstRev 6-11'!E117</f>
        <v>0</v>
      </c>
      <c r="C5304" s="5">
        <f t="shared" si="60"/>
        <v>5299</v>
      </c>
      <c r="D5304" s="6"/>
    </row>
    <row r="5305" spans="1:4" x14ac:dyDescent="0.2">
      <c r="A5305">
        <v>5300</v>
      </c>
      <c r="B5305" s="14">
        <f>'EstRev 6-11'!E120</f>
        <v>0</v>
      </c>
      <c r="C5305" s="5">
        <f t="shared" si="60"/>
        <v>5300</v>
      </c>
      <c r="D5305" s="6"/>
    </row>
    <row r="5306" spans="1:4" x14ac:dyDescent="0.2">
      <c r="A5306">
        <v>5301</v>
      </c>
      <c r="B5306" s="14">
        <f>'EstRev 6-11'!E121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6-11'!E124</f>
        <v>0</v>
      </c>
      <c r="C5311" s="5">
        <f t="shared" si="60"/>
        <v>5306</v>
      </c>
      <c r="D5311" s="6"/>
    </row>
    <row r="5312" spans="1:4" x14ac:dyDescent="0.2">
      <c r="A5312">
        <v>5307</v>
      </c>
      <c r="B5312" s="14">
        <f>'EstRev 6-11'!E129</f>
        <v>0</v>
      </c>
      <c r="C5312" s="5">
        <f t="shared" si="60"/>
        <v>5307</v>
      </c>
      <c r="D5312" s="6"/>
    </row>
    <row r="5313" spans="1:4" x14ac:dyDescent="0.2">
      <c r="A5313">
        <v>5308</v>
      </c>
      <c r="B5313" s="14">
        <f>'EstRev 6-11'!E134</f>
        <v>0</v>
      </c>
      <c r="C5313" s="5">
        <f t="shared" si="60"/>
        <v>5308</v>
      </c>
      <c r="D5313" s="6"/>
    </row>
    <row r="5314" spans="1:4" x14ac:dyDescent="0.2">
      <c r="A5314">
        <v>5309</v>
      </c>
      <c r="B5314" s="14">
        <f>'EstRev 6-11'!E136</f>
        <v>0</v>
      </c>
      <c r="C5314" s="5">
        <f t="shared" si="60"/>
        <v>5309</v>
      </c>
      <c r="D5314" s="6"/>
    </row>
    <row r="5315" spans="1:4" x14ac:dyDescent="0.2">
      <c r="A5315" s="3">
        <v>5310</v>
      </c>
      <c r="D5315" s="7"/>
    </row>
    <row r="5316" spans="1:4" x14ac:dyDescent="0.2">
      <c r="A5316" s="3">
        <v>5311</v>
      </c>
      <c r="D5316" s="6" t="s">
        <v>299</v>
      </c>
    </row>
    <row r="5317" spans="1:4" x14ac:dyDescent="0.2">
      <c r="A5317" s="3">
        <v>5312</v>
      </c>
      <c r="D5317" s="6" t="s">
        <v>299</v>
      </c>
    </row>
    <row r="5318" spans="1:4" x14ac:dyDescent="0.2">
      <c r="A5318">
        <v>5313</v>
      </c>
      <c r="B5318" s="14">
        <f>'EstRev 6-11'!E137</f>
        <v>0</v>
      </c>
      <c r="C5318" s="5">
        <f t="shared" si="60"/>
        <v>5313</v>
      </c>
      <c r="D5318" s="6"/>
    </row>
    <row r="5319" spans="1:4" x14ac:dyDescent="0.2">
      <c r="A5319">
        <v>5314</v>
      </c>
      <c r="B5319" s="14">
        <f>'EstRev 6-11'!E138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6-11'!E143</f>
        <v>0</v>
      </c>
      <c r="C5327" s="5">
        <f t="shared" ref="C5327:C5383" si="61">A5327-B5327</f>
        <v>5322</v>
      </c>
      <c r="D5327" s="6"/>
    </row>
    <row r="5328" spans="1:4" x14ac:dyDescent="0.2">
      <c r="A5328">
        <v>5323</v>
      </c>
      <c r="B5328" s="14">
        <f>'EstRev 6-11'!E150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6-11'!E151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6-11'!E154</f>
        <v>0</v>
      </c>
      <c r="C5335" s="5">
        <f t="shared" si="61"/>
        <v>5330</v>
      </c>
      <c r="D5335" s="6"/>
    </row>
    <row r="5336" spans="1:4" x14ac:dyDescent="0.2">
      <c r="A5336" s="3">
        <v>5331</v>
      </c>
      <c r="D5336" s="7"/>
    </row>
    <row r="5337" spans="1:4" x14ac:dyDescent="0.2">
      <c r="A5337">
        <v>5332</v>
      </c>
      <c r="B5337" s="14">
        <f>'EstRev 6-11'!E155</f>
        <v>0</v>
      </c>
      <c r="C5337" s="5">
        <f t="shared" si="61"/>
        <v>5332</v>
      </c>
      <c r="D5337" s="6"/>
    </row>
    <row r="5338" spans="1:4" x14ac:dyDescent="0.2">
      <c r="A5338">
        <v>5333</v>
      </c>
      <c r="B5338" s="14">
        <f>'EstRev 6-11'!E157</f>
        <v>0</v>
      </c>
      <c r="C5338" s="5">
        <f t="shared" si="61"/>
        <v>5333</v>
      </c>
      <c r="D5338" s="6"/>
    </row>
    <row r="5339" spans="1:4" x14ac:dyDescent="0.2">
      <c r="A5339">
        <v>5334</v>
      </c>
      <c r="B5339" s="14">
        <f>'EstRev 6-11'!E159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6-11'!E161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299</v>
      </c>
    </row>
    <row r="5352" spans="1:4" x14ac:dyDescent="0.2">
      <c r="A5352" s="3">
        <v>5347</v>
      </c>
      <c r="D5352" s="7"/>
    </row>
    <row r="5353" spans="1:4" x14ac:dyDescent="0.2">
      <c r="A5353" s="3">
        <v>5348</v>
      </c>
      <c r="D5353" s="7"/>
    </row>
    <row r="5354" spans="1:4" x14ac:dyDescent="0.2">
      <c r="A5354" s="3">
        <v>5349</v>
      </c>
      <c r="D5354" s="6" t="s">
        <v>299</v>
      </c>
    </row>
    <row r="5355" spans="1:4" x14ac:dyDescent="0.2">
      <c r="A5355" s="3">
        <v>5350</v>
      </c>
      <c r="D5355" s="6" t="s">
        <v>299</v>
      </c>
    </row>
    <row r="5356" spans="1:4" x14ac:dyDescent="0.2">
      <c r="A5356">
        <v>5351</v>
      </c>
      <c r="B5356" s="14">
        <f>'EstRev 6-11'!E171</f>
        <v>0</v>
      </c>
      <c r="C5356" s="5">
        <f t="shared" si="61"/>
        <v>5351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6-11'!E172</f>
        <v>0</v>
      </c>
      <c r="C5365" s="5">
        <f t="shared" si="61"/>
        <v>5360</v>
      </c>
      <c r="D5365" s="6"/>
    </row>
    <row r="5366" spans="1:4" x14ac:dyDescent="0.2">
      <c r="A5366">
        <v>5361</v>
      </c>
      <c r="B5366" s="14">
        <f>'EstRev 6-11'!E175</f>
        <v>0</v>
      </c>
      <c r="C5366" s="5">
        <f t="shared" si="61"/>
        <v>5361</v>
      </c>
      <c r="D5366" s="6"/>
    </row>
    <row r="5367" spans="1:4" x14ac:dyDescent="0.2">
      <c r="A5367">
        <v>5362</v>
      </c>
      <c r="B5367" s="14">
        <f>'EstRev 6-11'!E177</f>
        <v>0</v>
      </c>
      <c r="C5367" s="5">
        <f t="shared" si="61"/>
        <v>5362</v>
      </c>
      <c r="D5367" s="6"/>
    </row>
    <row r="5368" spans="1:4" x14ac:dyDescent="0.2">
      <c r="A5368">
        <v>5363</v>
      </c>
      <c r="B5368" s="14">
        <f>'EstRev 6-11'!E180</f>
        <v>0</v>
      </c>
      <c r="C5368" s="5">
        <f t="shared" si="61"/>
        <v>5363</v>
      </c>
      <c r="D5368" s="6"/>
    </row>
    <row r="5369" spans="1:4" x14ac:dyDescent="0.2">
      <c r="A5369">
        <v>5364</v>
      </c>
      <c r="B5369" s="14">
        <f>'EstRev 6-11'!E183</f>
        <v>0</v>
      </c>
      <c r="C5369" s="5">
        <f t="shared" si="61"/>
        <v>5364</v>
      </c>
      <c r="D5369" s="6"/>
    </row>
    <row r="5370" spans="1:4" x14ac:dyDescent="0.2">
      <c r="A5370">
        <v>5365</v>
      </c>
      <c r="B5370" s="14">
        <f>'EstRev 6-11'!E186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6-11'!E202</f>
        <v>0</v>
      </c>
      <c r="C5375" s="5">
        <f t="shared" si="61"/>
        <v>5370</v>
      </c>
      <c r="D5375" s="6"/>
    </row>
    <row r="5376" spans="1:4" x14ac:dyDescent="0.2">
      <c r="A5376">
        <v>5371</v>
      </c>
      <c r="B5376" s="14">
        <f>'EstRev 6-11'!E203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299</v>
      </c>
    </row>
    <row r="5381" spans="1:4" x14ac:dyDescent="0.2">
      <c r="A5381" s="3">
        <v>5376</v>
      </c>
      <c r="D5381" s="6" t="s">
        <v>299</v>
      </c>
    </row>
    <row r="5382" spans="1:4" x14ac:dyDescent="0.2">
      <c r="A5382" s="3">
        <v>5377</v>
      </c>
      <c r="D5382" s="6" t="s">
        <v>654</v>
      </c>
    </row>
    <row r="5383" spans="1:4" x14ac:dyDescent="0.2">
      <c r="A5383">
        <v>5378</v>
      </c>
      <c r="B5383" s="14">
        <f>'EstRev 6-11'!E204</f>
        <v>0</v>
      </c>
      <c r="C5383" s="5">
        <f t="shared" si="61"/>
        <v>5378</v>
      </c>
      <c r="D5383" s="6"/>
    </row>
    <row r="5384" spans="1:4" x14ac:dyDescent="0.2">
      <c r="A5384">
        <v>5379</v>
      </c>
      <c r="B5384" s="14">
        <f>'EstRev 6-11'!E208</f>
        <v>0</v>
      </c>
      <c r="C5384" s="5">
        <f t="shared" ref="C5384:C5445" si="62">A5384-B5384</f>
        <v>5379</v>
      </c>
      <c r="D5384" s="6"/>
    </row>
    <row r="5385" spans="1:4" x14ac:dyDescent="0.2">
      <c r="A5385" s="3">
        <v>5380</v>
      </c>
      <c r="D5385" s="6" t="s">
        <v>299</v>
      </c>
    </row>
    <row r="5386" spans="1:4" x14ac:dyDescent="0.2">
      <c r="A5386" s="3">
        <v>5381</v>
      </c>
      <c r="D5386" s="7"/>
    </row>
    <row r="5387" spans="1:4" x14ac:dyDescent="0.2">
      <c r="A5387" s="3">
        <v>5382</v>
      </c>
      <c r="D5387" s="7"/>
    </row>
    <row r="5388" spans="1:4" x14ac:dyDescent="0.2">
      <c r="A5388">
        <v>5383</v>
      </c>
      <c r="B5388" s="14">
        <f>'EstRev 6-11'!E206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6-11'!E213</f>
        <v>0</v>
      </c>
      <c r="C5402" s="5">
        <f t="shared" si="62"/>
        <v>5397</v>
      </c>
      <c r="D5402" s="6"/>
    </row>
    <row r="5403" spans="1:4" x14ac:dyDescent="0.2">
      <c r="A5403">
        <v>5398</v>
      </c>
      <c r="B5403" s="14">
        <f>'EstRev 6-11'!E214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6-11'!E215</f>
        <v>0</v>
      </c>
      <c r="C5406" s="5">
        <f t="shared" si="62"/>
        <v>5401</v>
      </c>
      <c r="D5406" s="6"/>
    </row>
    <row r="5407" spans="1:4" x14ac:dyDescent="0.2">
      <c r="A5407">
        <v>5402</v>
      </c>
      <c r="B5407" s="14">
        <f>'EstRev 6-11'!E216</f>
        <v>0</v>
      </c>
      <c r="C5407" s="5">
        <f t="shared" si="62"/>
        <v>5402</v>
      </c>
      <c r="D5407" s="6"/>
    </row>
    <row r="5408" spans="1:4" x14ac:dyDescent="0.2">
      <c r="A5408">
        <v>5403</v>
      </c>
      <c r="B5408" s="14">
        <f>'EstRev 6-11'!E217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6-11'!E219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299</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299</v>
      </c>
    </row>
    <row r="5425" spans="1:4" x14ac:dyDescent="0.2">
      <c r="A5425" s="3">
        <v>5420</v>
      </c>
      <c r="D5425" s="6" t="s">
        <v>299</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6-11'!E221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6-11'!E223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6-11'!E224</f>
        <v>0</v>
      </c>
      <c r="C5438" s="5">
        <f t="shared" si="62"/>
        <v>5433</v>
      </c>
      <c r="D5438" s="6"/>
    </row>
    <row r="5439" spans="1:4" x14ac:dyDescent="0.2">
      <c r="A5439" s="3">
        <v>5434</v>
      </c>
      <c r="D5439" s="7"/>
    </row>
    <row r="5440" spans="1:4" x14ac:dyDescent="0.2">
      <c r="A5440">
        <v>5435</v>
      </c>
      <c r="B5440" s="14">
        <f>'EstRev 6-11'!E259</f>
        <v>0</v>
      </c>
      <c r="C5440" s="5">
        <f t="shared" si="62"/>
        <v>5435</v>
      </c>
      <c r="D5440" s="6"/>
    </row>
    <row r="5441" spans="1:4" x14ac:dyDescent="0.2">
      <c r="A5441" s="3">
        <v>5436</v>
      </c>
      <c r="D5441" s="7"/>
    </row>
    <row r="5442" spans="1:4" x14ac:dyDescent="0.2">
      <c r="A5442">
        <v>5437</v>
      </c>
      <c r="B5442" s="14">
        <f>'EstRev 6-11'!E260</f>
        <v>0</v>
      </c>
      <c r="C5442" s="5">
        <f t="shared" si="62"/>
        <v>5437</v>
      </c>
      <c r="D5442" s="6"/>
    </row>
    <row r="5443" spans="1:4" x14ac:dyDescent="0.2">
      <c r="A5443" s="3">
        <v>5438</v>
      </c>
      <c r="D5443" s="7"/>
    </row>
    <row r="5444" spans="1:4" x14ac:dyDescent="0.2">
      <c r="A5444" s="3">
        <v>5439</v>
      </c>
      <c r="D5444" s="6" t="s">
        <v>299</v>
      </c>
    </row>
    <row r="5445" spans="1:4" x14ac:dyDescent="0.2">
      <c r="A5445">
        <v>5440</v>
      </c>
      <c r="B5445" s="14">
        <f>'EstRev 6-11'!E268</f>
        <v>0</v>
      </c>
      <c r="C5445" s="5">
        <f t="shared" si="62"/>
        <v>5440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6-11'!E269</f>
        <v>0</v>
      </c>
      <c r="C5451" s="5">
        <f t="shared" ref="C5451:C5511" si="63">A5451-B5451</f>
        <v>5446</v>
      </c>
      <c r="D5451" s="6"/>
    </row>
    <row r="5452" spans="1:4" x14ac:dyDescent="0.2">
      <c r="A5452">
        <v>5447</v>
      </c>
      <c r="B5452" s="14">
        <f>'EstRev 6-11'!E270</f>
        <v>8220000</v>
      </c>
      <c r="C5452" s="5">
        <f t="shared" si="63"/>
        <v>-8214553</v>
      </c>
      <c r="D5452" s="6"/>
    </row>
    <row r="5453" spans="1:4" x14ac:dyDescent="0.2">
      <c r="A5453">
        <v>5448</v>
      </c>
      <c r="B5453" s="14">
        <f>'EstRev 6-11'!F5</f>
        <v>3018000</v>
      </c>
      <c r="C5453" s="5">
        <f t="shared" si="63"/>
        <v>-3012552</v>
      </c>
      <c r="D5453" s="6"/>
    </row>
    <row r="5454" spans="1:4" x14ac:dyDescent="0.2">
      <c r="A5454" s="3">
        <v>5449</v>
      </c>
      <c r="D5454" s="6" t="s">
        <v>299</v>
      </c>
    </row>
    <row r="5455" spans="1:4" x14ac:dyDescent="0.2">
      <c r="A5455">
        <v>5450</v>
      </c>
      <c r="B5455" s="14">
        <f>'EstRev 6-11'!F9</f>
        <v>0</v>
      </c>
      <c r="C5455" s="5">
        <f t="shared" si="63"/>
        <v>5450</v>
      </c>
      <c r="D5455" s="6"/>
    </row>
    <row r="5456" spans="1:4" x14ac:dyDescent="0.2">
      <c r="A5456">
        <v>5451</v>
      </c>
      <c r="B5456" s="14">
        <f>'EstRev 6-11'!F11</f>
        <v>0</v>
      </c>
      <c r="C5456" s="5">
        <f t="shared" si="63"/>
        <v>5451</v>
      </c>
      <c r="D5456" s="6"/>
    </row>
    <row r="5457" spans="1:4" x14ac:dyDescent="0.2">
      <c r="A5457">
        <v>5452</v>
      </c>
      <c r="B5457" s="14">
        <f>'EstRev 6-11'!F12</f>
        <v>3018000</v>
      </c>
      <c r="C5457" s="5">
        <f t="shared" si="63"/>
        <v>-3012548</v>
      </c>
      <c r="D5457" s="6"/>
    </row>
    <row r="5458" spans="1:4" x14ac:dyDescent="0.2">
      <c r="A5458">
        <v>5453</v>
      </c>
      <c r="B5458" s="14">
        <f>'EstRev 6-11'!F14</f>
        <v>0</v>
      </c>
      <c r="C5458" s="5">
        <f t="shared" si="63"/>
        <v>5453</v>
      </c>
      <c r="D5458" s="6"/>
    </row>
    <row r="5459" spans="1:4" x14ac:dyDescent="0.2">
      <c r="A5459">
        <v>5454</v>
      </c>
      <c r="B5459" s="14">
        <f>'EstRev 6-11'!F15</f>
        <v>0</v>
      </c>
      <c r="C5459" s="5">
        <f t="shared" si="63"/>
        <v>5454</v>
      </c>
      <c r="D5459" s="6"/>
    </row>
    <row r="5460" spans="1:4" x14ac:dyDescent="0.2">
      <c r="A5460">
        <v>5455</v>
      </c>
      <c r="B5460" s="14">
        <f>'EstRev 6-11'!F16</f>
        <v>0</v>
      </c>
      <c r="C5460" s="5">
        <f t="shared" si="63"/>
        <v>5455</v>
      </c>
      <c r="D5460" s="6"/>
    </row>
    <row r="5461" spans="1:4" x14ac:dyDescent="0.2">
      <c r="A5461">
        <v>5456</v>
      </c>
      <c r="B5461" s="14">
        <f>'EstRev 6-11'!F17</f>
        <v>0</v>
      </c>
      <c r="C5461" s="5">
        <f t="shared" si="63"/>
        <v>5456</v>
      </c>
      <c r="D5461" s="6"/>
    </row>
    <row r="5462" spans="1:4" x14ac:dyDescent="0.2">
      <c r="A5462">
        <v>5457</v>
      </c>
      <c r="B5462" s="14">
        <f>'EstRev 6-11'!F18</f>
        <v>0</v>
      </c>
      <c r="C5462" s="5">
        <f t="shared" si="63"/>
        <v>5457</v>
      </c>
      <c r="D5462" s="6"/>
    </row>
    <row r="5463" spans="1:4" x14ac:dyDescent="0.2">
      <c r="A5463">
        <v>5458</v>
      </c>
      <c r="B5463" s="14">
        <f>'EstRev 6-11'!F65</f>
        <v>1000</v>
      </c>
      <c r="C5463" s="5">
        <f t="shared" si="63"/>
        <v>4458</v>
      </c>
      <c r="D5463" s="6"/>
    </row>
    <row r="5464" spans="1:4" x14ac:dyDescent="0.2">
      <c r="A5464">
        <v>5459</v>
      </c>
      <c r="B5464" s="14">
        <f>'EstRev 6-11'!F66</f>
        <v>0</v>
      </c>
      <c r="C5464" s="5">
        <f t="shared" si="63"/>
        <v>5459</v>
      </c>
      <c r="D5464" s="6"/>
    </row>
    <row r="5465" spans="1:4" x14ac:dyDescent="0.2">
      <c r="A5465">
        <v>5460</v>
      </c>
      <c r="B5465" s="14">
        <f>'EstRev 6-11'!F67</f>
        <v>1000</v>
      </c>
      <c r="C5465" s="5">
        <f t="shared" si="63"/>
        <v>4460</v>
      </c>
      <c r="D5465" s="6"/>
    </row>
    <row r="5466" spans="1:4" x14ac:dyDescent="0.2">
      <c r="A5466">
        <v>5461</v>
      </c>
      <c r="B5466" s="14">
        <f>'EstRev 6-11'!F98</f>
        <v>0</v>
      </c>
      <c r="C5466" s="5">
        <f t="shared" si="63"/>
        <v>5461</v>
      </c>
      <c r="D5466" s="6"/>
    </row>
    <row r="5467" spans="1:4" x14ac:dyDescent="0.2">
      <c r="A5467">
        <v>5462</v>
      </c>
      <c r="B5467" s="14">
        <f>'EstRev 6-11'!F101</f>
        <v>0</v>
      </c>
      <c r="C5467" s="5">
        <f t="shared" si="63"/>
        <v>5462</v>
      </c>
      <c r="D5467" s="6"/>
    </row>
    <row r="5468" spans="1:4" x14ac:dyDescent="0.2">
      <c r="A5468">
        <v>5463</v>
      </c>
      <c r="B5468" s="14">
        <f>'EstRev 6-11'!F106</f>
        <v>0</v>
      </c>
      <c r="C5468" s="5">
        <f t="shared" si="63"/>
        <v>5463</v>
      </c>
      <c r="D5468" s="6"/>
    </row>
    <row r="5469" spans="1:4" x14ac:dyDescent="0.2">
      <c r="A5469">
        <v>5464</v>
      </c>
      <c r="B5469" s="14">
        <f>'EstRev 6-11'!F109</f>
        <v>600000</v>
      </c>
      <c r="C5469" s="5">
        <f t="shared" si="63"/>
        <v>-594536</v>
      </c>
      <c r="D5469" s="6"/>
    </row>
    <row r="5470" spans="1:4" x14ac:dyDescent="0.2">
      <c r="A5470">
        <v>5465</v>
      </c>
      <c r="B5470" s="14">
        <f>'EstRev 6-11'!F110</f>
        <v>600000</v>
      </c>
      <c r="C5470" s="5">
        <f t="shared" si="63"/>
        <v>-594535</v>
      </c>
      <c r="D5470" s="6"/>
    </row>
    <row r="5471" spans="1:4" x14ac:dyDescent="0.2">
      <c r="A5471">
        <v>5466</v>
      </c>
      <c r="B5471" s="14">
        <f>'EstRev 6-11'!F111</f>
        <v>3619000</v>
      </c>
      <c r="C5471" s="5">
        <f t="shared" si="63"/>
        <v>-3613534</v>
      </c>
      <c r="D5471" s="6"/>
    </row>
    <row r="5472" spans="1:4" x14ac:dyDescent="0.2">
      <c r="A5472">
        <v>5467</v>
      </c>
      <c r="B5472" s="14">
        <f>'EstRev 6-11'!F120</f>
        <v>0</v>
      </c>
      <c r="C5472" s="5">
        <f t="shared" si="63"/>
        <v>5467</v>
      </c>
      <c r="D5472" s="6"/>
    </row>
    <row r="5473" spans="1:4" x14ac:dyDescent="0.2">
      <c r="A5473">
        <v>5468</v>
      </c>
      <c r="B5473" s="14">
        <f>'EstRev 6-11'!F121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6-11'!F124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6-11'!F171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6-11'!F172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6-11'!F270</f>
        <v>3619000</v>
      </c>
      <c r="C5496" s="5">
        <f t="shared" si="63"/>
        <v>-3613509</v>
      </c>
      <c r="D5496" s="6"/>
    </row>
    <row r="5497" spans="1:4" x14ac:dyDescent="0.2">
      <c r="A5497">
        <v>5492</v>
      </c>
      <c r="B5497" s="14">
        <f>'EstRev 6-11'!G5</f>
        <v>841000</v>
      </c>
      <c r="C5497" s="5">
        <f t="shared" si="63"/>
        <v>-835508</v>
      </c>
      <c r="D5497" s="6"/>
    </row>
    <row r="5498" spans="1:4" x14ac:dyDescent="0.2">
      <c r="A5498" s="3">
        <v>5493</v>
      </c>
      <c r="D5498" s="6" t="s">
        <v>299</v>
      </c>
    </row>
    <row r="5499" spans="1:4" x14ac:dyDescent="0.2">
      <c r="A5499">
        <v>5494</v>
      </c>
      <c r="B5499" s="14">
        <f>'EstRev 6-11'!G7</f>
        <v>0</v>
      </c>
      <c r="C5499" s="5">
        <f t="shared" si="63"/>
        <v>5494</v>
      </c>
      <c r="D5499" s="6"/>
    </row>
    <row r="5500" spans="1:4" x14ac:dyDescent="0.2">
      <c r="A5500">
        <v>5495</v>
      </c>
      <c r="B5500" s="14">
        <f>'EstRev 6-11'!G11</f>
        <v>0</v>
      </c>
      <c r="C5500" s="5">
        <f t="shared" si="63"/>
        <v>5495</v>
      </c>
      <c r="D5500" s="6"/>
    </row>
    <row r="5501" spans="1:4" x14ac:dyDescent="0.2">
      <c r="A5501">
        <v>5496</v>
      </c>
      <c r="B5501" s="14">
        <f>'EstRev 6-11'!G12</f>
        <v>841000</v>
      </c>
      <c r="C5501" s="5">
        <f t="shared" si="63"/>
        <v>-835504</v>
      </c>
      <c r="D5501" s="6"/>
    </row>
    <row r="5502" spans="1:4" x14ac:dyDescent="0.2">
      <c r="A5502">
        <v>5497</v>
      </c>
      <c r="B5502" s="14">
        <f>'EstRev 6-11'!G14</f>
        <v>0</v>
      </c>
      <c r="C5502" s="5">
        <f t="shared" si="63"/>
        <v>5497</v>
      </c>
      <c r="D5502" s="6"/>
    </row>
    <row r="5503" spans="1:4" x14ac:dyDescent="0.2">
      <c r="A5503">
        <v>5498</v>
      </c>
      <c r="B5503" s="14">
        <f>'EstRev 6-11'!G15</f>
        <v>0</v>
      </c>
      <c r="C5503" s="5">
        <f t="shared" si="63"/>
        <v>5498</v>
      </c>
      <c r="D5503" s="6"/>
    </row>
    <row r="5504" spans="1:4" x14ac:dyDescent="0.2">
      <c r="A5504">
        <v>5499</v>
      </c>
      <c r="B5504" s="14">
        <f>'EstRev 6-11'!G16</f>
        <v>0</v>
      </c>
      <c r="C5504" s="5">
        <f t="shared" si="63"/>
        <v>5499</v>
      </c>
      <c r="D5504" s="6"/>
    </row>
    <row r="5505" spans="1:4" x14ac:dyDescent="0.2">
      <c r="A5505">
        <v>5500</v>
      </c>
      <c r="B5505" s="14">
        <f>'EstRev 6-11'!G17</f>
        <v>0</v>
      </c>
      <c r="C5505" s="5">
        <f t="shared" si="63"/>
        <v>5500</v>
      </c>
      <c r="D5505" s="6"/>
    </row>
    <row r="5506" spans="1:4" x14ac:dyDescent="0.2">
      <c r="A5506">
        <v>5501</v>
      </c>
      <c r="B5506" s="14">
        <f>'EstRev 6-11'!G18</f>
        <v>0</v>
      </c>
      <c r="C5506" s="5">
        <f t="shared" si="63"/>
        <v>5501</v>
      </c>
      <c r="D5506" s="6"/>
    </row>
    <row r="5507" spans="1:4" x14ac:dyDescent="0.2">
      <c r="A5507">
        <v>5502</v>
      </c>
      <c r="B5507" s="14">
        <f>'EstRev 6-11'!G42</f>
        <v>0</v>
      </c>
      <c r="C5507" s="5">
        <f t="shared" si="63"/>
        <v>5502</v>
      </c>
      <c r="D5507" s="6"/>
    </row>
    <row r="5508" spans="1:4" x14ac:dyDescent="0.2">
      <c r="A5508">
        <v>5503</v>
      </c>
      <c r="B5508" s="14">
        <f>'EstRev 6-11'!G43</f>
        <v>0</v>
      </c>
      <c r="C5508" s="5">
        <f t="shared" si="63"/>
        <v>5503</v>
      </c>
      <c r="D5508" s="6"/>
    </row>
    <row r="5509" spans="1:4" x14ac:dyDescent="0.2">
      <c r="A5509">
        <v>5504</v>
      </c>
      <c r="B5509" s="14">
        <f>'EstRev 6-11'!G44</f>
        <v>0</v>
      </c>
      <c r="C5509" s="5">
        <f t="shared" si="63"/>
        <v>5504</v>
      </c>
      <c r="D5509" s="6"/>
    </row>
    <row r="5510" spans="1:4" x14ac:dyDescent="0.2">
      <c r="A5510">
        <v>5505</v>
      </c>
      <c r="B5510" s="14">
        <f>'EstRev 6-11'!G45</f>
        <v>0</v>
      </c>
      <c r="C5510" s="5">
        <f t="shared" si="63"/>
        <v>5505</v>
      </c>
      <c r="D5510" s="6"/>
    </row>
    <row r="5511" spans="1:4" x14ac:dyDescent="0.2">
      <c r="A5511">
        <v>5506</v>
      </c>
      <c r="B5511" s="14">
        <f>'EstRev 6-11'!G47</f>
        <v>0</v>
      </c>
      <c r="C5511" s="5">
        <f t="shared" si="63"/>
        <v>5506</v>
      </c>
      <c r="D5511" s="6"/>
    </row>
    <row r="5512" spans="1:4" x14ac:dyDescent="0.2">
      <c r="A5512">
        <v>5507</v>
      </c>
      <c r="B5512" s="14">
        <f>'EstRev 6-11'!G48</f>
        <v>0</v>
      </c>
      <c r="C5512" s="5">
        <f t="shared" ref="C5512:C5571" si="64">A5512-B5512</f>
        <v>5507</v>
      </c>
      <c r="D5512" s="6"/>
    </row>
    <row r="5513" spans="1:4" x14ac:dyDescent="0.2">
      <c r="A5513">
        <v>5508</v>
      </c>
      <c r="B5513" s="14">
        <f>'EstRev 6-11'!G49</f>
        <v>0</v>
      </c>
      <c r="C5513" s="5">
        <f t="shared" si="64"/>
        <v>5508</v>
      </c>
      <c r="D5513" s="6"/>
    </row>
    <row r="5514" spans="1:4" x14ac:dyDescent="0.2">
      <c r="A5514">
        <v>5509</v>
      </c>
      <c r="B5514" s="14">
        <f>'EstRev 6-11'!G51</f>
        <v>0</v>
      </c>
      <c r="C5514" s="5">
        <f t="shared" si="64"/>
        <v>5509</v>
      </c>
      <c r="D5514" s="6"/>
    </row>
    <row r="5515" spans="1:4" x14ac:dyDescent="0.2">
      <c r="A5515">
        <v>5510</v>
      </c>
      <c r="B5515" s="14">
        <f>'EstRev 6-11'!G52</f>
        <v>0</v>
      </c>
      <c r="C5515" s="5">
        <f t="shared" si="64"/>
        <v>5510</v>
      </c>
      <c r="D5515" s="6"/>
    </row>
    <row r="5516" spans="1:4" x14ac:dyDescent="0.2">
      <c r="A5516">
        <v>5511</v>
      </c>
      <c r="B5516" s="14">
        <f>'EstRev 6-11'!G53</f>
        <v>0</v>
      </c>
      <c r="C5516" s="5">
        <f t="shared" si="64"/>
        <v>5511</v>
      </c>
      <c r="D5516" s="6"/>
    </row>
    <row r="5517" spans="1:4" x14ac:dyDescent="0.2">
      <c r="A5517">
        <v>5512</v>
      </c>
      <c r="B5517" s="14">
        <f>'EstRev 6-11'!G55</f>
        <v>0</v>
      </c>
      <c r="C5517" s="5">
        <f t="shared" si="64"/>
        <v>5512</v>
      </c>
      <c r="D5517" s="6"/>
    </row>
    <row r="5518" spans="1:4" x14ac:dyDescent="0.2">
      <c r="A5518">
        <v>5513</v>
      </c>
      <c r="B5518" s="14">
        <f>'EstRev 6-11'!G56</f>
        <v>0</v>
      </c>
      <c r="C5518" s="5">
        <f t="shared" si="64"/>
        <v>5513</v>
      </c>
      <c r="D5518" s="6"/>
    </row>
    <row r="5519" spans="1:4" x14ac:dyDescent="0.2">
      <c r="A5519">
        <v>5514</v>
      </c>
      <c r="B5519" s="14">
        <f>'EstRev 6-11'!G57</f>
        <v>0</v>
      </c>
      <c r="C5519" s="5">
        <f t="shared" si="64"/>
        <v>5514</v>
      </c>
      <c r="D5519" s="6"/>
    </row>
    <row r="5520" spans="1:4" x14ac:dyDescent="0.2">
      <c r="A5520">
        <v>5515</v>
      </c>
      <c r="B5520" s="14">
        <f>'EstRev 6-11'!G59</f>
        <v>0</v>
      </c>
      <c r="C5520" s="5">
        <f t="shared" si="64"/>
        <v>5515</v>
      </c>
      <c r="D5520" s="6"/>
    </row>
    <row r="5521" spans="1:4" x14ac:dyDescent="0.2">
      <c r="A5521">
        <v>5516</v>
      </c>
      <c r="B5521" s="14">
        <f>'EstRev 6-11'!G60</f>
        <v>0</v>
      </c>
      <c r="C5521" s="5">
        <f t="shared" si="64"/>
        <v>5516</v>
      </c>
      <c r="D5521" s="6"/>
    </row>
    <row r="5522" spans="1:4" x14ac:dyDescent="0.2">
      <c r="A5522">
        <v>5517</v>
      </c>
      <c r="B5522" s="14">
        <f>'EstRev 6-11'!G61</f>
        <v>0</v>
      </c>
      <c r="C5522" s="5">
        <f t="shared" si="64"/>
        <v>5517</v>
      </c>
      <c r="D5522" s="6"/>
    </row>
    <row r="5523" spans="1:4" x14ac:dyDescent="0.2">
      <c r="A5523">
        <v>5518</v>
      </c>
      <c r="B5523" s="14">
        <f>'EstRev 6-11'!G63</f>
        <v>0</v>
      </c>
      <c r="C5523" s="5">
        <f t="shared" si="64"/>
        <v>5518</v>
      </c>
      <c r="D5523" s="6"/>
    </row>
    <row r="5524" spans="1:4" x14ac:dyDescent="0.2">
      <c r="A5524">
        <v>5519</v>
      </c>
      <c r="B5524" s="14">
        <f>'EstRev 6-11'!G65</f>
        <v>1000</v>
      </c>
      <c r="C5524" s="5">
        <f t="shared" si="64"/>
        <v>4519</v>
      </c>
      <c r="D5524" s="6"/>
    </row>
    <row r="5525" spans="1:4" x14ac:dyDescent="0.2">
      <c r="A5525">
        <v>5520</v>
      </c>
      <c r="B5525" s="14">
        <f>'EstRev 6-11'!G66</f>
        <v>0</v>
      </c>
      <c r="C5525" s="5">
        <f t="shared" si="64"/>
        <v>5520</v>
      </c>
      <c r="D5525" s="6"/>
    </row>
    <row r="5526" spans="1:4" x14ac:dyDescent="0.2">
      <c r="A5526">
        <v>5521</v>
      </c>
      <c r="B5526" s="14">
        <f>'EstRev 6-11'!G67</f>
        <v>1000</v>
      </c>
      <c r="C5526" s="5">
        <f t="shared" si="64"/>
        <v>4521</v>
      </c>
      <c r="D5526" s="6"/>
    </row>
    <row r="5527" spans="1:4" x14ac:dyDescent="0.2">
      <c r="A5527">
        <v>5522</v>
      </c>
      <c r="B5527" s="14">
        <f>'EstRev 6-11'!G98</f>
        <v>0</v>
      </c>
      <c r="C5527" s="5">
        <f t="shared" si="64"/>
        <v>5522</v>
      </c>
      <c r="D5527" s="6"/>
    </row>
    <row r="5528" spans="1:4" x14ac:dyDescent="0.2">
      <c r="A5528">
        <v>5523</v>
      </c>
      <c r="B5528" s="14">
        <f>'EstRev 6-11'!G100</f>
        <v>0</v>
      </c>
      <c r="C5528" s="5">
        <f t="shared" si="64"/>
        <v>5523</v>
      </c>
      <c r="D5528" s="6"/>
    </row>
    <row r="5529" spans="1:4" x14ac:dyDescent="0.2">
      <c r="A5529">
        <v>5524</v>
      </c>
      <c r="B5529" s="14">
        <f>'EstRev 6-11'!G101</f>
        <v>0</v>
      </c>
      <c r="C5529" s="5">
        <f t="shared" si="64"/>
        <v>5524</v>
      </c>
      <c r="D5529" s="6"/>
    </row>
    <row r="5530" spans="1:4" x14ac:dyDescent="0.2">
      <c r="A5530">
        <v>5525</v>
      </c>
      <c r="B5530" s="14">
        <f>'EstRev 6-11'!G109</f>
        <v>0</v>
      </c>
      <c r="C5530" s="5">
        <f t="shared" si="64"/>
        <v>5525</v>
      </c>
      <c r="D5530" s="6"/>
    </row>
    <row r="5531" spans="1:4" x14ac:dyDescent="0.2">
      <c r="A5531">
        <v>5526</v>
      </c>
      <c r="B5531" s="14">
        <f>'EstRev 6-11'!G110</f>
        <v>0</v>
      </c>
      <c r="C5531" s="5">
        <f t="shared" si="64"/>
        <v>5526</v>
      </c>
      <c r="D5531" s="6"/>
    </row>
    <row r="5532" spans="1:4" x14ac:dyDescent="0.2">
      <c r="A5532">
        <v>5527</v>
      </c>
      <c r="B5532" s="14">
        <f>'EstRev 6-11'!G111</f>
        <v>842000</v>
      </c>
      <c r="C5532" s="5">
        <f t="shared" si="64"/>
        <v>-836473</v>
      </c>
      <c r="D5532" s="6"/>
    </row>
    <row r="5533" spans="1:4" x14ac:dyDescent="0.2">
      <c r="A5533">
        <v>5528</v>
      </c>
      <c r="B5533" s="14">
        <f>'EstRev 6-11'!G114</f>
        <v>0</v>
      </c>
      <c r="C5533" s="5">
        <f t="shared" si="64"/>
        <v>5528</v>
      </c>
      <c r="D5533" s="6"/>
    </row>
    <row r="5534" spans="1:4" x14ac:dyDescent="0.2">
      <c r="A5534">
        <v>5529</v>
      </c>
      <c r="B5534" s="14">
        <f>'EstRev 6-11'!G115</f>
        <v>0</v>
      </c>
      <c r="C5534" s="5">
        <f t="shared" si="64"/>
        <v>5529</v>
      </c>
      <c r="D5534" s="6"/>
    </row>
    <row r="5535" spans="1:4" x14ac:dyDescent="0.2">
      <c r="A5535">
        <v>5530</v>
      </c>
      <c r="B5535" s="14">
        <f>'EstRev 6-11'!G116</f>
        <v>0</v>
      </c>
      <c r="C5535" s="5">
        <f t="shared" si="64"/>
        <v>5530</v>
      </c>
      <c r="D5535" s="6"/>
    </row>
    <row r="5536" spans="1:4" x14ac:dyDescent="0.2">
      <c r="A5536">
        <v>5531</v>
      </c>
      <c r="B5536" s="14">
        <f>'EstRev 6-11'!G117</f>
        <v>0</v>
      </c>
      <c r="C5536" s="5">
        <f t="shared" si="64"/>
        <v>5531</v>
      </c>
      <c r="D5536" s="6"/>
    </row>
    <row r="5537" spans="1:4" x14ac:dyDescent="0.2">
      <c r="A5537">
        <v>5532</v>
      </c>
      <c r="B5537" s="14">
        <f>'EstRev 6-11'!G120</f>
        <v>0</v>
      </c>
      <c r="C5537" s="5">
        <f t="shared" si="64"/>
        <v>5532</v>
      </c>
      <c r="D5537" s="6"/>
    </row>
    <row r="5538" spans="1:4" x14ac:dyDescent="0.2">
      <c r="A5538">
        <v>5533</v>
      </c>
      <c r="B5538" s="14">
        <f>'EstRev 6-11'!G121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6-11'!G124</f>
        <v>0</v>
      </c>
      <c r="C5543" s="5">
        <f t="shared" si="64"/>
        <v>5538</v>
      </c>
      <c r="D5543" s="6"/>
    </row>
    <row r="5544" spans="1:4" x14ac:dyDescent="0.2">
      <c r="A5544">
        <v>5539</v>
      </c>
      <c r="B5544" s="14">
        <f>'EstRev 6-11'!G127</f>
        <v>0</v>
      </c>
      <c r="C5544" s="5">
        <f t="shared" si="64"/>
        <v>5539</v>
      </c>
      <c r="D5544" s="6"/>
    </row>
    <row r="5545" spans="1:4" x14ac:dyDescent="0.2">
      <c r="A5545">
        <v>5540</v>
      </c>
      <c r="B5545" s="14">
        <f>'EstRev 6-11'!G128</f>
        <v>0</v>
      </c>
      <c r="C5545" s="5">
        <f t="shared" si="64"/>
        <v>5540</v>
      </c>
      <c r="D5545" s="6"/>
    </row>
    <row r="5546" spans="1:4" x14ac:dyDescent="0.2">
      <c r="A5546">
        <v>5541</v>
      </c>
      <c r="B5546" s="14">
        <f>'EstRev 6-11'!G129</f>
        <v>0</v>
      </c>
      <c r="C5546" s="5">
        <f t="shared" si="64"/>
        <v>5541</v>
      </c>
      <c r="D5546" s="6"/>
    </row>
    <row r="5547" spans="1:4" x14ac:dyDescent="0.2">
      <c r="A5547" s="3">
        <v>5542</v>
      </c>
      <c r="D5547" s="7"/>
    </row>
    <row r="5548" spans="1:4" x14ac:dyDescent="0.2">
      <c r="A5548">
        <v>5543</v>
      </c>
      <c r="B5548" s="14">
        <f>'EstRev 6-11'!G130</f>
        <v>0</v>
      </c>
      <c r="C5548" s="5">
        <f t="shared" si="64"/>
        <v>5543</v>
      </c>
      <c r="D5548" s="6"/>
    </row>
    <row r="5549" spans="1:4" x14ac:dyDescent="0.2">
      <c r="A5549" s="3">
        <v>5544</v>
      </c>
      <c r="D5549" s="7"/>
    </row>
    <row r="5550" spans="1:4" x14ac:dyDescent="0.2">
      <c r="A5550">
        <v>5545</v>
      </c>
      <c r="B5550" s="14">
        <f>'EstRev 6-11'!G131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6-11'!G132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6-11'!G134</f>
        <v>0</v>
      </c>
      <c r="C5558" s="5">
        <f t="shared" si="64"/>
        <v>5553</v>
      </c>
      <c r="D5558" s="6"/>
    </row>
    <row r="5559" spans="1:4" x14ac:dyDescent="0.2">
      <c r="A5559">
        <v>5554</v>
      </c>
      <c r="B5559" s="14">
        <f>'EstRev 6-11'!G154</f>
        <v>8000</v>
      </c>
      <c r="C5559" s="5">
        <f t="shared" si="64"/>
        <v>-2446</v>
      </c>
      <c r="D5559" s="6"/>
    </row>
    <row r="5560" spans="1:4" x14ac:dyDescent="0.2">
      <c r="A5560" s="3">
        <v>5555</v>
      </c>
      <c r="D5560" s="7"/>
    </row>
    <row r="5561" spans="1:4" x14ac:dyDescent="0.2">
      <c r="A5561">
        <v>5556</v>
      </c>
      <c r="B5561" s="14">
        <f>'EstRev 6-11'!G155</f>
        <v>400000</v>
      </c>
      <c r="C5561" s="5">
        <f t="shared" si="64"/>
        <v>-394444</v>
      </c>
      <c r="D5561" s="6"/>
    </row>
    <row r="5562" spans="1:4" x14ac:dyDescent="0.2">
      <c r="A5562">
        <v>5557</v>
      </c>
      <c r="B5562" s="14">
        <f>'EstRev 6-11'!G157</f>
        <v>408000</v>
      </c>
      <c r="C5562" s="5">
        <f t="shared" si="64"/>
        <v>-402443</v>
      </c>
      <c r="D5562" s="6"/>
    </row>
    <row r="5563" spans="1:4" x14ac:dyDescent="0.2">
      <c r="A5563">
        <v>5558</v>
      </c>
      <c r="B5563" s="14">
        <f>'EstRev 6-11'!G159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6-11'!G160</f>
        <v>0</v>
      </c>
      <c r="C5569" s="5">
        <f t="shared" si="64"/>
        <v>5564</v>
      </c>
      <c r="D5569" s="6"/>
    </row>
    <row r="5570" spans="1:4" x14ac:dyDescent="0.2">
      <c r="A5570" s="3">
        <v>5565</v>
      </c>
      <c r="D5570" s="7"/>
    </row>
    <row r="5571" spans="1:4" x14ac:dyDescent="0.2">
      <c r="A5571">
        <v>5566</v>
      </c>
      <c r="B5571" s="14">
        <f>'EstRev 6-11'!G161</f>
        <v>0</v>
      </c>
      <c r="C5571" s="5">
        <f t="shared" si="64"/>
        <v>5566</v>
      </c>
      <c r="D5571" s="6"/>
    </row>
    <row r="5572" spans="1:4" x14ac:dyDescent="0.2">
      <c r="A5572" s="3">
        <v>5567</v>
      </c>
      <c r="D5572" s="7"/>
    </row>
    <row r="5573" spans="1:4" x14ac:dyDescent="0.2">
      <c r="A5573" s="3">
        <v>5568</v>
      </c>
      <c r="D5573" s="7"/>
    </row>
    <row r="5574" spans="1:4" x14ac:dyDescent="0.2">
      <c r="A5574" s="3">
        <v>5569</v>
      </c>
      <c r="D5574" s="6" t="s">
        <v>654</v>
      </c>
    </row>
    <row r="5575" spans="1:4" x14ac:dyDescent="0.2">
      <c r="A5575" s="3">
        <v>5570</v>
      </c>
      <c r="D5575" s="6" t="s">
        <v>654</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299</v>
      </c>
    </row>
    <row r="5582" spans="1:4" x14ac:dyDescent="0.2">
      <c r="A5582" s="3">
        <v>5577</v>
      </c>
      <c r="D5582" s="7"/>
    </row>
    <row r="5583" spans="1:4" x14ac:dyDescent="0.2">
      <c r="A5583" s="3">
        <v>5578</v>
      </c>
      <c r="D5583" s="7"/>
    </row>
    <row r="5584" spans="1:4" x14ac:dyDescent="0.2">
      <c r="A5584" s="3">
        <v>5579</v>
      </c>
      <c r="D5584" s="6" t="s">
        <v>299</v>
      </c>
    </row>
    <row r="5585" spans="1:4" x14ac:dyDescent="0.2">
      <c r="A5585" s="3">
        <v>5580</v>
      </c>
      <c r="D5585" s="6" t="s">
        <v>299</v>
      </c>
    </row>
    <row r="5586" spans="1:4" x14ac:dyDescent="0.2">
      <c r="A5586" s="3">
        <v>5581</v>
      </c>
      <c r="D5586" s="6" t="s">
        <v>299</v>
      </c>
    </row>
    <row r="5587" spans="1:4" x14ac:dyDescent="0.2">
      <c r="A5587" s="3">
        <v>5582</v>
      </c>
      <c r="D5587" s="6" t="s">
        <v>299</v>
      </c>
    </row>
    <row r="5588" spans="1:4" x14ac:dyDescent="0.2">
      <c r="A5588" s="4">
        <v>5583</v>
      </c>
      <c r="B5588" s="14">
        <f>'EstRev 6-11'!G171</f>
        <v>408000</v>
      </c>
      <c r="C5588" s="5">
        <f t="shared" ref="C5588:C5639" si="65">A5588-B5588</f>
        <v>-402417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6-11'!G172</f>
        <v>408000</v>
      </c>
      <c r="C5597" s="5">
        <f t="shared" si="65"/>
        <v>-402408</v>
      </c>
      <c r="D5597" s="6"/>
    </row>
    <row r="5598" spans="1:4" x14ac:dyDescent="0.2">
      <c r="A5598">
        <v>5593</v>
      </c>
      <c r="B5598" s="14">
        <f>'EstRev 6-11'!G175</f>
        <v>0</v>
      </c>
      <c r="C5598" s="5">
        <f t="shared" si="65"/>
        <v>5593</v>
      </c>
      <c r="D5598" s="6"/>
    </row>
    <row r="5599" spans="1:4" x14ac:dyDescent="0.2">
      <c r="A5599">
        <v>5594</v>
      </c>
      <c r="B5599" s="14">
        <f>'EstRev 6-11'!G177</f>
        <v>0</v>
      </c>
      <c r="C5599" s="5">
        <f t="shared" si="65"/>
        <v>5594</v>
      </c>
      <c r="D5599" s="6"/>
    </row>
    <row r="5600" spans="1:4" x14ac:dyDescent="0.2">
      <c r="A5600" s="3">
        <v>5595</v>
      </c>
      <c r="D5600" s="6" t="s">
        <v>299</v>
      </c>
    </row>
    <row r="5601" spans="1:4" x14ac:dyDescent="0.2">
      <c r="A5601" s="3">
        <v>5596</v>
      </c>
      <c r="D5601" s="6" t="s">
        <v>299</v>
      </c>
    </row>
    <row r="5602" spans="1:4" x14ac:dyDescent="0.2">
      <c r="A5602">
        <v>5597</v>
      </c>
      <c r="B5602" s="14">
        <f>'EstRev 6-11'!G183</f>
        <v>0</v>
      </c>
      <c r="C5602" s="5">
        <f t="shared" si="65"/>
        <v>5597</v>
      </c>
      <c r="D5602" s="6"/>
    </row>
    <row r="5603" spans="1:4" x14ac:dyDescent="0.2">
      <c r="A5603">
        <v>5598</v>
      </c>
      <c r="B5603" s="14">
        <f>'EstRev 6-11'!G186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6-11'!G202</f>
        <v>0</v>
      </c>
      <c r="C5608" s="5">
        <f t="shared" si="65"/>
        <v>5603</v>
      </c>
      <c r="D5608" s="6"/>
    </row>
    <row r="5609" spans="1:4" x14ac:dyDescent="0.2">
      <c r="A5609">
        <v>5604</v>
      </c>
      <c r="B5609" s="14">
        <f>'EstRev 6-11'!G203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299</v>
      </c>
    </row>
    <row r="5614" spans="1:4" x14ac:dyDescent="0.2">
      <c r="A5614" s="3">
        <v>5609</v>
      </c>
      <c r="D5614" s="6" t="s">
        <v>299</v>
      </c>
    </row>
    <row r="5615" spans="1:4" x14ac:dyDescent="0.2">
      <c r="A5615" s="3">
        <v>5610</v>
      </c>
      <c r="D5615" s="6" t="s">
        <v>654</v>
      </c>
    </row>
    <row r="5616" spans="1:4" x14ac:dyDescent="0.2">
      <c r="A5616">
        <v>5611</v>
      </c>
      <c r="B5616" s="14">
        <f>'EstRev 6-11'!G204</f>
        <v>0</v>
      </c>
      <c r="C5616" s="5">
        <f t="shared" si="65"/>
        <v>5611</v>
      </c>
      <c r="D5616" s="6"/>
    </row>
    <row r="5617" spans="1:4" x14ac:dyDescent="0.2">
      <c r="A5617">
        <v>5612</v>
      </c>
      <c r="B5617" s="14">
        <f>'EstRev 6-11'!G208</f>
        <v>0</v>
      </c>
      <c r="C5617" s="5">
        <f t="shared" si="65"/>
        <v>5612</v>
      </c>
      <c r="D5617" s="6"/>
    </row>
    <row r="5618" spans="1:4" x14ac:dyDescent="0.2">
      <c r="A5618" s="3">
        <v>5613</v>
      </c>
      <c r="D5618" s="6" t="s">
        <v>299</v>
      </c>
    </row>
    <row r="5619" spans="1:4" x14ac:dyDescent="0.2">
      <c r="A5619" s="3">
        <v>5614</v>
      </c>
      <c r="D5619" s="7"/>
    </row>
    <row r="5620" spans="1:4" x14ac:dyDescent="0.2">
      <c r="A5620" s="3">
        <v>5615</v>
      </c>
      <c r="D5620" s="7"/>
    </row>
    <row r="5621" spans="1:4" x14ac:dyDescent="0.2">
      <c r="A5621">
        <v>5616</v>
      </c>
      <c r="B5621" s="14">
        <f>'EstRev 6-11'!G206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6-11'!G213</f>
        <v>0</v>
      </c>
      <c r="C5635" s="5">
        <f t="shared" si="65"/>
        <v>5630</v>
      </c>
      <c r="D5635" s="6"/>
    </row>
    <row r="5636" spans="1:4" x14ac:dyDescent="0.2">
      <c r="A5636">
        <v>5631</v>
      </c>
      <c r="B5636" s="14">
        <f>'EstRev 6-11'!G214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6-11'!G215</f>
        <v>0</v>
      </c>
      <c r="C5639" s="5">
        <f t="shared" si="65"/>
        <v>5634</v>
      </c>
      <c r="D5639" s="6"/>
    </row>
    <row r="5640" spans="1:4" x14ac:dyDescent="0.2">
      <c r="A5640">
        <v>5635</v>
      </c>
      <c r="B5640" s="14">
        <f>'EstRev 6-11'!G216</f>
        <v>0</v>
      </c>
      <c r="C5640" s="5">
        <f t="shared" ref="C5640:C5701" si="66">A5640-B5640</f>
        <v>5635</v>
      </c>
      <c r="D5640" s="6"/>
    </row>
    <row r="5641" spans="1:4" x14ac:dyDescent="0.2">
      <c r="A5641">
        <v>5636</v>
      </c>
      <c r="B5641" s="14">
        <f>'EstRev 6-11'!G217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6-11'!G219</f>
        <v>0</v>
      </c>
      <c r="C5647" s="5">
        <f t="shared" si="66"/>
        <v>5642</v>
      </c>
      <c r="D5647" s="6"/>
    </row>
    <row r="5648" spans="1:4" x14ac:dyDescent="0.2">
      <c r="A5648" s="3">
        <v>5643</v>
      </c>
      <c r="D5648" s="7"/>
    </row>
    <row r="5649" spans="1:4" x14ac:dyDescent="0.2">
      <c r="A5649">
        <v>5644</v>
      </c>
      <c r="B5649" s="14">
        <f>'EstRev 6-11'!G257</f>
        <v>0</v>
      </c>
      <c r="C5649" s="5">
        <f t="shared" si="66"/>
        <v>5644</v>
      </c>
      <c r="D5649" s="6"/>
    </row>
    <row r="5650" spans="1:4" x14ac:dyDescent="0.2">
      <c r="A5650" s="3">
        <v>5645</v>
      </c>
      <c r="D5650" s="6"/>
    </row>
    <row r="5651" spans="1:4" x14ac:dyDescent="0.2">
      <c r="A5651" s="3">
        <v>5646</v>
      </c>
      <c r="D5651" s="18" t="s">
        <v>654</v>
      </c>
    </row>
    <row r="5652" spans="1:4" x14ac:dyDescent="0.2">
      <c r="A5652">
        <v>5647</v>
      </c>
      <c r="B5652" s="14">
        <f>'EstRev 6-11'!G259</f>
        <v>0</v>
      </c>
      <c r="C5652" s="5">
        <f t="shared" si="66"/>
        <v>5647</v>
      </c>
      <c r="D5652" s="6"/>
    </row>
    <row r="5653" spans="1:4" x14ac:dyDescent="0.2">
      <c r="A5653" s="3">
        <v>5648</v>
      </c>
      <c r="D5653" s="7"/>
    </row>
    <row r="5654" spans="1:4" x14ac:dyDescent="0.2">
      <c r="A5654">
        <v>5649</v>
      </c>
      <c r="B5654" s="14">
        <f>'EstRev 6-11'!G260</f>
        <v>0</v>
      </c>
      <c r="C5654" s="5">
        <f t="shared" si="66"/>
        <v>5649</v>
      </c>
      <c r="D5654" s="6"/>
    </row>
    <row r="5655" spans="1:4" x14ac:dyDescent="0.2">
      <c r="A5655" s="3">
        <v>5650</v>
      </c>
      <c r="D5655" s="7"/>
    </row>
    <row r="5656" spans="1:4" x14ac:dyDescent="0.2">
      <c r="A5656" s="3">
        <v>5651</v>
      </c>
      <c r="D5656" s="6" t="s">
        <v>299</v>
      </c>
    </row>
    <row r="5657" spans="1:4" x14ac:dyDescent="0.2">
      <c r="A5657">
        <v>5652</v>
      </c>
      <c r="B5657" s="14">
        <f>'EstRev 6-11'!G268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6-11'!G269</f>
        <v>0</v>
      </c>
      <c r="C5663" s="5">
        <f t="shared" si="66"/>
        <v>5658</v>
      </c>
      <c r="D5663" s="6"/>
    </row>
    <row r="5664" spans="1:4" x14ac:dyDescent="0.2">
      <c r="A5664">
        <v>5659</v>
      </c>
      <c r="B5664" s="14">
        <f>'EstRev 6-11'!G270</f>
        <v>1250000</v>
      </c>
      <c r="C5664" s="5">
        <f t="shared" si="66"/>
        <v>-1244341</v>
      </c>
      <c r="D5664" s="6"/>
    </row>
    <row r="5665" spans="1:4" x14ac:dyDescent="0.2">
      <c r="A5665">
        <v>5660</v>
      </c>
      <c r="B5665" s="14">
        <f>'EstRev 6-11'!H5</f>
        <v>1675000</v>
      </c>
      <c r="C5665" s="5">
        <f t="shared" si="66"/>
        <v>-1669340</v>
      </c>
      <c r="D5665" s="6"/>
    </row>
    <row r="5666" spans="1:4" x14ac:dyDescent="0.2">
      <c r="A5666">
        <v>5661</v>
      </c>
      <c r="B5666" s="14">
        <f>'EstRev 6-11'!H7</f>
        <v>1650000</v>
      </c>
      <c r="C5666" s="5">
        <f t="shared" si="66"/>
        <v>-1644339</v>
      </c>
      <c r="D5666" s="6"/>
    </row>
    <row r="5667" spans="1:4" x14ac:dyDescent="0.2">
      <c r="A5667">
        <v>5662</v>
      </c>
      <c r="B5667" s="14">
        <f>'EstRev 6-11'!H8</f>
        <v>0</v>
      </c>
      <c r="C5667" s="5">
        <f t="shared" si="66"/>
        <v>5662</v>
      </c>
      <c r="D5667" s="6"/>
    </row>
    <row r="5668" spans="1:4" x14ac:dyDescent="0.2">
      <c r="A5668">
        <v>5663</v>
      </c>
      <c r="B5668" s="14">
        <f>'EstRev 6-11'!H11</f>
        <v>0</v>
      </c>
      <c r="C5668" s="5">
        <f t="shared" si="66"/>
        <v>5663</v>
      </c>
      <c r="D5668" s="6"/>
    </row>
    <row r="5669" spans="1:4" x14ac:dyDescent="0.2">
      <c r="A5669">
        <v>5664</v>
      </c>
      <c r="B5669" s="14">
        <f>'EstRev 6-11'!H12</f>
        <v>3325000</v>
      </c>
      <c r="C5669" s="5">
        <f t="shared" si="66"/>
        <v>-3319336</v>
      </c>
      <c r="D5669" s="6"/>
    </row>
    <row r="5670" spans="1:4" x14ac:dyDescent="0.2">
      <c r="A5670">
        <v>5665</v>
      </c>
      <c r="B5670" s="14">
        <f>'EstRev 6-11'!H14</f>
        <v>0</v>
      </c>
      <c r="C5670" s="5">
        <f t="shared" si="66"/>
        <v>5665</v>
      </c>
      <c r="D5670" s="6"/>
    </row>
    <row r="5671" spans="1:4" x14ac:dyDescent="0.2">
      <c r="A5671">
        <v>5666</v>
      </c>
      <c r="B5671" s="14">
        <f>'EstRev 6-11'!H15</f>
        <v>0</v>
      </c>
      <c r="C5671" s="5">
        <f t="shared" si="66"/>
        <v>5666</v>
      </c>
      <c r="D5671" s="6"/>
    </row>
    <row r="5672" spans="1:4" x14ac:dyDescent="0.2">
      <c r="A5672">
        <v>5667</v>
      </c>
      <c r="B5672" s="14">
        <f>'EstRev 6-11'!H16</f>
        <v>75000</v>
      </c>
      <c r="C5672" s="5">
        <f t="shared" si="66"/>
        <v>-69333</v>
      </c>
      <c r="D5672" s="6"/>
    </row>
    <row r="5673" spans="1:4" x14ac:dyDescent="0.2">
      <c r="A5673">
        <v>5668</v>
      </c>
      <c r="B5673" s="14">
        <f>'EstRev 6-11'!H17</f>
        <v>0</v>
      </c>
      <c r="C5673" s="5">
        <f t="shared" si="66"/>
        <v>5668</v>
      </c>
      <c r="D5673" s="6"/>
    </row>
    <row r="5674" spans="1:4" x14ac:dyDescent="0.2">
      <c r="A5674">
        <v>5669</v>
      </c>
      <c r="B5674" s="14">
        <f>'EstRev 6-11'!H18</f>
        <v>75000</v>
      </c>
      <c r="C5674" s="5">
        <f t="shared" si="66"/>
        <v>-69331</v>
      </c>
      <c r="D5674" s="6"/>
    </row>
    <row r="5675" spans="1:4" x14ac:dyDescent="0.2">
      <c r="A5675">
        <v>5670</v>
      </c>
      <c r="B5675" s="14">
        <f>'EstRev 6-11'!H65</f>
        <v>0</v>
      </c>
      <c r="C5675" s="5">
        <f t="shared" si="66"/>
        <v>5670</v>
      </c>
      <c r="D5675" s="6"/>
    </row>
    <row r="5676" spans="1:4" x14ac:dyDescent="0.2">
      <c r="A5676">
        <v>5671</v>
      </c>
      <c r="B5676" s="14">
        <f>'EstRev 6-11'!H66</f>
        <v>0</v>
      </c>
      <c r="C5676" s="5">
        <f t="shared" si="66"/>
        <v>5671</v>
      </c>
      <c r="D5676" s="6"/>
    </row>
    <row r="5677" spans="1:4" x14ac:dyDescent="0.2">
      <c r="A5677">
        <v>5672</v>
      </c>
      <c r="B5677" s="14">
        <f>'EstRev 6-11'!H67</f>
        <v>0</v>
      </c>
      <c r="C5677" s="5">
        <f t="shared" si="66"/>
        <v>5672</v>
      </c>
      <c r="D5677" s="6"/>
    </row>
    <row r="5678" spans="1:4" x14ac:dyDescent="0.2">
      <c r="A5678">
        <v>5673</v>
      </c>
      <c r="B5678" s="14">
        <f>'EstRev 6-11'!H98</f>
        <v>0</v>
      </c>
      <c r="C5678" s="5">
        <f t="shared" si="66"/>
        <v>5673</v>
      </c>
      <c r="D5678" s="6"/>
    </row>
    <row r="5679" spans="1:4" x14ac:dyDescent="0.2">
      <c r="A5679">
        <v>5674</v>
      </c>
      <c r="B5679" s="14">
        <f>'EstRev 6-11'!H101</f>
        <v>0</v>
      </c>
      <c r="C5679" s="5">
        <f t="shared" si="66"/>
        <v>5674</v>
      </c>
      <c r="D5679" s="6"/>
    </row>
    <row r="5680" spans="1:4" x14ac:dyDescent="0.2">
      <c r="A5680">
        <v>5675</v>
      </c>
      <c r="B5680" s="14">
        <f>'EstRev 6-11'!H109</f>
        <v>0</v>
      </c>
      <c r="C5680" s="5">
        <f t="shared" si="66"/>
        <v>5675</v>
      </c>
      <c r="D5680" s="6"/>
    </row>
    <row r="5681" spans="1:4" x14ac:dyDescent="0.2">
      <c r="A5681">
        <v>5676</v>
      </c>
      <c r="B5681" s="14">
        <f>'EstRev 6-11'!H110</f>
        <v>0</v>
      </c>
      <c r="C5681" s="5">
        <f t="shared" si="66"/>
        <v>5676</v>
      </c>
      <c r="D5681" s="6"/>
    </row>
    <row r="5682" spans="1:4" x14ac:dyDescent="0.2">
      <c r="A5682">
        <v>5677</v>
      </c>
      <c r="B5682" s="14">
        <f>'EstRev 6-11'!H114</f>
        <v>0</v>
      </c>
      <c r="C5682" s="5">
        <f t="shared" si="66"/>
        <v>5677</v>
      </c>
      <c r="D5682" s="6"/>
    </row>
    <row r="5683" spans="1:4" x14ac:dyDescent="0.2">
      <c r="A5683">
        <v>5678</v>
      </c>
      <c r="B5683" s="14">
        <f>'EstRev 6-11'!H115</f>
        <v>0</v>
      </c>
      <c r="C5683" s="5">
        <f t="shared" si="66"/>
        <v>5678</v>
      </c>
      <c r="D5683" s="6"/>
    </row>
    <row r="5684" spans="1:4" x14ac:dyDescent="0.2">
      <c r="A5684">
        <v>5679</v>
      </c>
      <c r="B5684" s="14">
        <f>'EstRev 6-11'!H116</f>
        <v>0</v>
      </c>
      <c r="C5684" s="5">
        <f t="shared" si="66"/>
        <v>5679</v>
      </c>
      <c r="D5684" s="6"/>
    </row>
    <row r="5685" spans="1:4" x14ac:dyDescent="0.2">
      <c r="A5685">
        <v>5680</v>
      </c>
      <c r="B5685" s="14">
        <f>'EstRev 6-11'!H117</f>
        <v>0</v>
      </c>
      <c r="C5685" s="5">
        <f t="shared" si="66"/>
        <v>5680</v>
      </c>
      <c r="D5685" s="6"/>
    </row>
    <row r="5686" spans="1:4" x14ac:dyDescent="0.2">
      <c r="A5686">
        <v>5681</v>
      </c>
      <c r="B5686" s="14">
        <f>'EstRev 6-11'!H120</f>
        <v>0</v>
      </c>
      <c r="C5686" s="5">
        <f t="shared" si="66"/>
        <v>5681</v>
      </c>
      <c r="D5686" s="6"/>
    </row>
    <row r="5687" spans="1:4" x14ac:dyDescent="0.2">
      <c r="A5687">
        <v>5682</v>
      </c>
      <c r="B5687" s="14">
        <f>'EstRev 6-11'!H121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6-11'!H124</f>
        <v>0</v>
      </c>
      <c r="C5692" s="5">
        <f t="shared" si="66"/>
        <v>5687</v>
      </c>
      <c r="D5692" s="6"/>
    </row>
    <row r="5693" spans="1:4" x14ac:dyDescent="0.2">
      <c r="A5693">
        <v>5688</v>
      </c>
      <c r="B5693" s="14">
        <f>'EstRev 6-11'!H136</f>
        <v>0</v>
      </c>
      <c r="C5693" s="5">
        <f t="shared" si="66"/>
        <v>5688</v>
      </c>
      <c r="D5693" s="6"/>
    </row>
    <row r="5694" spans="1:4" x14ac:dyDescent="0.2">
      <c r="A5694" s="3">
        <v>5689</v>
      </c>
      <c r="D5694" s="7"/>
    </row>
    <row r="5695" spans="1:4" x14ac:dyDescent="0.2">
      <c r="A5695" s="3">
        <v>5690</v>
      </c>
      <c r="D5695" s="6" t="s">
        <v>299</v>
      </c>
    </row>
    <row r="5696" spans="1:4" x14ac:dyDescent="0.2">
      <c r="A5696">
        <v>5691</v>
      </c>
      <c r="B5696" s="14">
        <f>'EstRev 6-11'!H143</f>
        <v>0</v>
      </c>
      <c r="C5696" s="5">
        <f t="shared" si="66"/>
        <v>5691</v>
      </c>
      <c r="D5696" s="6"/>
    </row>
    <row r="5697" spans="1:4" x14ac:dyDescent="0.2">
      <c r="A5697" s="3">
        <v>5692</v>
      </c>
      <c r="D5697" s="7"/>
    </row>
    <row r="5698" spans="1:4" x14ac:dyDescent="0.2">
      <c r="A5698">
        <v>5693</v>
      </c>
      <c r="B5698" s="14">
        <f>'EstRev 6-11'!H145</f>
        <v>0</v>
      </c>
      <c r="C5698" s="5">
        <f t="shared" si="66"/>
        <v>5693</v>
      </c>
      <c r="D5698" s="6"/>
    </row>
    <row r="5699" spans="1:4" x14ac:dyDescent="0.2">
      <c r="A5699">
        <v>5694</v>
      </c>
      <c r="B5699" s="14">
        <f>'EstRev 6-11'!H146</f>
        <v>0</v>
      </c>
      <c r="C5699" s="5">
        <f t="shared" si="66"/>
        <v>5694</v>
      </c>
      <c r="D5699" s="6"/>
    </row>
    <row r="5700" spans="1:4" x14ac:dyDescent="0.2">
      <c r="A5700">
        <v>5695</v>
      </c>
      <c r="B5700" s="14">
        <f>'EstRev 6-11'!H147</f>
        <v>0</v>
      </c>
      <c r="C5700" s="5">
        <f t="shared" si="66"/>
        <v>5695</v>
      </c>
      <c r="D5700" s="6"/>
    </row>
    <row r="5701" spans="1:4" x14ac:dyDescent="0.2">
      <c r="A5701">
        <v>5696</v>
      </c>
      <c r="B5701" s="14">
        <f>'EstRev 6-11'!H159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6-11'!H160</f>
        <v>0</v>
      </c>
      <c r="C5707" s="5">
        <f t="shared" ref="C5707:C5767" si="67">A5707-B5707</f>
        <v>5702</v>
      </c>
      <c r="D5707" s="6"/>
    </row>
    <row r="5708" spans="1:4" x14ac:dyDescent="0.2">
      <c r="A5708" s="3">
        <v>5703</v>
      </c>
      <c r="D5708" s="7"/>
    </row>
    <row r="5709" spans="1:4" x14ac:dyDescent="0.2">
      <c r="A5709">
        <v>5704</v>
      </c>
      <c r="B5709" s="14">
        <f>'EstRev 6-11'!H161</f>
        <v>0</v>
      </c>
      <c r="C5709" s="5">
        <f t="shared" si="67"/>
        <v>5704</v>
      </c>
      <c r="D5709" s="6"/>
    </row>
    <row r="5710" spans="1:4" x14ac:dyDescent="0.2">
      <c r="A5710" s="3">
        <v>5705</v>
      </c>
      <c r="D5710" s="7"/>
    </row>
    <row r="5711" spans="1:4" x14ac:dyDescent="0.2">
      <c r="A5711" s="3">
        <v>5706</v>
      </c>
      <c r="D5711" s="6" t="s">
        <v>654</v>
      </c>
    </row>
    <row r="5712" spans="1:4" x14ac:dyDescent="0.2">
      <c r="A5712" s="3">
        <v>5707</v>
      </c>
      <c r="D5712" s="6" t="s">
        <v>654</v>
      </c>
    </row>
    <row r="5713" spans="1:4" x14ac:dyDescent="0.2">
      <c r="A5713" s="3">
        <v>5708</v>
      </c>
      <c r="D5713" s="7"/>
    </row>
    <row r="5714" spans="1:4" x14ac:dyDescent="0.2">
      <c r="A5714">
        <v>5709</v>
      </c>
      <c r="B5714" s="14">
        <f>'EstRev 6-11'!H171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6-11'!H172</f>
        <v>0</v>
      </c>
      <c r="C5722" s="5">
        <f t="shared" si="67"/>
        <v>5717</v>
      </c>
      <c r="D5722" s="6"/>
    </row>
    <row r="5723" spans="1:4" x14ac:dyDescent="0.2">
      <c r="A5723">
        <v>5718</v>
      </c>
      <c r="B5723" s="14">
        <f>'EstRev 6-11'!H175</f>
        <v>0</v>
      </c>
      <c r="C5723" s="5">
        <f t="shared" si="67"/>
        <v>5718</v>
      </c>
      <c r="D5723" s="6"/>
    </row>
    <row r="5724" spans="1:4" x14ac:dyDescent="0.2">
      <c r="A5724">
        <v>5719</v>
      </c>
      <c r="B5724" s="14">
        <f>'EstRev 6-11'!H177</f>
        <v>0</v>
      </c>
      <c r="C5724" s="5">
        <f t="shared" si="67"/>
        <v>5719</v>
      </c>
      <c r="D5724" s="6"/>
    </row>
    <row r="5725" spans="1:4" x14ac:dyDescent="0.2">
      <c r="A5725" s="3">
        <v>5720</v>
      </c>
      <c r="D5725" s="6" t="s">
        <v>299</v>
      </c>
    </row>
    <row r="5726" spans="1:4" x14ac:dyDescent="0.2">
      <c r="A5726" s="3">
        <v>5721</v>
      </c>
      <c r="D5726" s="6" t="s">
        <v>299</v>
      </c>
    </row>
    <row r="5727" spans="1:4" x14ac:dyDescent="0.2">
      <c r="A5727" s="3">
        <v>5722</v>
      </c>
      <c r="D5727" s="6" t="s">
        <v>299</v>
      </c>
    </row>
    <row r="5728" spans="1:4" x14ac:dyDescent="0.2">
      <c r="A5728">
        <v>5723</v>
      </c>
      <c r="B5728" s="14">
        <f>'EstRev 6-11'!H183</f>
        <v>0</v>
      </c>
      <c r="C5728" s="5">
        <f t="shared" si="67"/>
        <v>5723</v>
      </c>
      <c r="D5728" s="6"/>
    </row>
    <row r="5729" spans="1:4" x14ac:dyDescent="0.2">
      <c r="A5729">
        <v>5724</v>
      </c>
      <c r="B5729" s="14">
        <f>'EstRev 6-11'!H186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6-11'!H202</f>
        <v>0</v>
      </c>
      <c r="C5734" s="5">
        <f t="shared" si="67"/>
        <v>5729</v>
      </c>
      <c r="D5734" s="6"/>
    </row>
    <row r="5735" spans="1:4" x14ac:dyDescent="0.2">
      <c r="A5735">
        <v>5730</v>
      </c>
      <c r="B5735" s="14">
        <f>'EstRev 6-11'!H203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299</v>
      </c>
    </row>
    <row r="5740" spans="1:4" x14ac:dyDescent="0.2">
      <c r="A5740" s="3">
        <v>5735</v>
      </c>
      <c r="D5740" s="6" t="s">
        <v>299</v>
      </c>
    </row>
    <row r="5741" spans="1:4" x14ac:dyDescent="0.2">
      <c r="A5741" s="3">
        <v>5736</v>
      </c>
      <c r="D5741" s="6" t="s">
        <v>654</v>
      </c>
    </row>
    <row r="5742" spans="1:4" x14ac:dyDescent="0.2">
      <c r="A5742">
        <v>5737</v>
      </c>
      <c r="B5742" s="14">
        <f>'EstRev 6-11'!H204</f>
        <v>0</v>
      </c>
      <c r="C5742" s="5">
        <f t="shared" si="67"/>
        <v>5737</v>
      </c>
      <c r="D5742" s="6"/>
    </row>
    <row r="5743" spans="1:4" x14ac:dyDescent="0.2">
      <c r="A5743">
        <v>5738</v>
      </c>
      <c r="B5743" s="14">
        <f>'EstRev 6-11'!H208</f>
        <v>0</v>
      </c>
      <c r="C5743" s="5">
        <f t="shared" si="67"/>
        <v>5738</v>
      </c>
      <c r="D5743" s="6"/>
    </row>
    <row r="5744" spans="1:4" x14ac:dyDescent="0.2">
      <c r="A5744" s="3">
        <v>5739</v>
      </c>
      <c r="D5744" s="6" t="s">
        <v>299</v>
      </c>
    </row>
    <row r="5745" spans="1:4" x14ac:dyDescent="0.2">
      <c r="A5745" s="3">
        <v>5740</v>
      </c>
      <c r="D5745" s="7"/>
    </row>
    <row r="5746" spans="1:4" x14ac:dyDescent="0.2">
      <c r="A5746" s="3">
        <v>5741</v>
      </c>
      <c r="D5746" s="7"/>
    </row>
    <row r="5747" spans="1:4" x14ac:dyDescent="0.2">
      <c r="A5747">
        <v>5742</v>
      </c>
      <c r="B5747" s="14">
        <f>'EstRev 6-11'!H206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6-11'!H213</f>
        <v>0</v>
      </c>
      <c r="C5761" s="5">
        <f t="shared" si="67"/>
        <v>5756</v>
      </c>
      <c r="D5761" s="6"/>
    </row>
    <row r="5762" spans="1:4" x14ac:dyDescent="0.2">
      <c r="A5762">
        <v>5757</v>
      </c>
      <c r="B5762" s="14">
        <f>'EstRev 6-11'!H214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6-11'!H215</f>
        <v>0</v>
      </c>
      <c r="C5765" s="5">
        <f t="shared" si="67"/>
        <v>5760</v>
      </c>
      <c r="D5765" s="6"/>
    </row>
    <row r="5766" spans="1:4" x14ac:dyDescent="0.2">
      <c r="A5766">
        <v>5761</v>
      </c>
      <c r="B5766" s="14">
        <f>'EstRev 6-11'!H216</f>
        <v>0</v>
      </c>
      <c r="C5766" s="5">
        <f t="shared" si="67"/>
        <v>5761</v>
      </c>
      <c r="D5766" s="6"/>
    </row>
    <row r="5767" spans="1:4" x14ac:dyDescent="0.2">
      <c r="A5767">
        <v>5762</v>
      </c>
      <c r="B5767" s="14">
        <f>'EstRev 6-11'!H217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6-11'!H219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299</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299</v>
      </c>
    </row>
    <row r="5784" spans="1:4" x14ac:dyDescent="0.2">
      <c r="A5784" s="3">
        <v>5779</v>
      </c>
      <c r="D5784" s="6" t="s">
        <v>299</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6-11'!H221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6-11'!H223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6-11'!H224</f>
        <v>0</v>
      </c>
      <c r="C5797" s="5">
        <f t="shared" si="68"/>
        <v>5792</v>
      </c>
      <c r="D5797" s="6"/>
    </row>
    <row r="5798" spans="1:4" x14ac:dyDescent="0.2">
      <c r="A5798" s="3">
        <v>5793</v>
      </c>
      <c r="D5798" s="7"/>
    </row>
    <row r="5799" spans="1:4" x14ac:dyDescent="0.2">
      <c r="A5799">
        <v>5794</v>
      </c>
      <c r="B5799" s="14">
        <f>'EstRev 6-11'!H257</f>
        <v>0</v>
      </c>
      <c r="C5799" s="5">
        <f t="shared" si="68"/>
        <v>5794</v>
      </c>
      <c r="D5799" s="6"/>
    </row>
    <row r="5800" spans="1:4" x14ac:dyDescent="0.2">
      <c r="A5800" s="3">
        <v>5795</v>
      </c>
      <c r="D5800" s="6" t="s">
        <v>654</v>
      </c>
    </row>
    <row r="5801" spans="1:4" x14ac:dyDescent="0.2">
      <c r="A5801" s="3">
        <v>5796</v>
      </c>
      <c r="D5801" s="7"/>
    </row>
    <row r="5802" spans="1:4" x14ac:dyDescent="0.2">
      <c r="A5802">
        <v>5797</v>
      </c>
      <c r="B5802" s="14">
        <f>'EstRev 6-11'!H259</f>
        <v>0</v>
      </c>
      <c r="C5802" s="5">
        <f t="shared" si="68"/>
        <v>5797</v>
      </c>
      <c r="D5802" s="6"/>
    </row>
    <row r="5803" spans="1:4" x14ac:dyDescent="0.2">
      <c r="A5803" s="3">
        <v>5798</v>
      </c>
      <c r="D5803" s="7"/>
    </row>
    <row r="5804" spans="1:4" x14ac:dyDescent="0.2">
      <c r="A5804">
        <v>5799</v>
      </c>
      <c r="B5804" s="14">
        <f>'EstRev 6-11'!H260</f>
        <v>0</v>
      </c>
      <c r="C5804" s="5">
        <f t="shared" si="68"/>
        <v>5799</v>
      </c>
      <c r="D5804" s="6"/>
    </row>
    <row r="5805" spans="1:4" x14ac:dyDescent="0.2">
      <c r="A5805" s="3">
        <v>5800</v>
      </c>
      <c r="D5805" s="7"/>
    </row>
    <row r="5806" spans="1:4" x14ac:dyDescent="0.2">
      <c r="A5806" s="3">
        <v>5801</v>
      </c>
      <c r="D5806" s="6" t="s">
        <v>299</v>
      </c>
    </row>
    <row r="5807" spans="1:4" x14ac:dyDescent="0.2">
      <c r="A5807">
        <v>5802</v>
      </c>
      <c r="B5807" s="14">
        <f>'EstRev 6-11'!H268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6-11'!H269</f>
        <v>0</v>
      </c>
      <c r="C5813" s="5">
        <f t="shared" si="68"/>
        <v>5808</v>
      </c>
      <c r="D5813" s="6"/>
    </row>
    <row r="5814" spans="1:4" x14ac:dyDescent="0.2">
      <c r="A5814">
        <v>5809</v>
      </c>
      <c r="B5814" s="14">
        <f>'EstRev 6-11'!H270</f>
        <v>3400000</v>
      </c>
      <c r="C5814" s="5">
        <f t="shared" si="68"/>
        <v>-3394191</v>
      </c>
      <c r="D5814" s="6"/>
    </row>
    <row r="5815" spans="1:4" x14ac:dyDescent="0.2">
      <c r="A5815">
        <v>5810</v>
      </c>
      <c r="B5815" s="14">
        <f>'EstRev 6-11'!I5</f>
        <v>0</v>
      </c>
      <c r="C5815" s="5">
        <f t="shared" si="68"/>
        <v>5810</v>
      </c>
      <c r="D5815" s="6"/>
    </row>
    <row r="5816" spans="1:4" x14ac:dyDescent="0.2">
      <c r="A5816">
        <v>5811</v>
      </c>
      <c r="B5816" s="14">
        <f>'EstRev 6-11'!I11</f>
        <v>0</v>
      </c>
      <c r="C5816" s="5">
        <f t="shared" si="68"/>
        <v>5811</v>
      </c>
      <c r="D5816" s="6"/>
    </row>
    <row r="5817" spans="1:4" x14ac:dyDescent="0.2">
      <c r="A5817">
        <v>5812</v>
      </c>
      <c r="B5817" s="14">
        <f>'EstRev 6-11'!I12</f>
        <v>0</v>
      </c>
      <c r="C5817" s="5">
        <f t="shared" si="68"/>
        <v>5812</v>
      </c>
      <c r="D5817" s="6"/>
    </row>
    <row r="5818" spans="1:4" x14ac:dyDescent="0.2">
      <c r="A5818">
        <v>5813</v>
      </c>
      <c r="B5818" s="14">
        <f>'EstRev 6-11'!I14</f>
        <v>0</v>
      </c>
      <c r="C5818" s="5">
        <f t="shared" si="68"/>
        <v>5813</v>
      </c>
      <c r="D5818" s="6"/>
    </row>
    <row r="5819" spans="1:4" x14ac:dyDescent="0.2">
      <c r="A5819">
        <v>5814</v>
      </c>
      <c r="B5819" s="14">
        <f>'EstRev 6-11'!I15</f>
        <v>0</v>
      </c>
      <c r="C5819" s="5">
        <f t="shared" si="68"/>
        <v>5814</v>
      </c>
      <c r="D5819" s="6"/>
    </row>
    <row r="5820" spans="1:4" x14ac:dyDescent="0.2">
      <c r="A5820">
        <v>5815</v>
      </c>
      <c r="B5820" s="14">
        <f>'EstRev 6-11'!I16</f>
        <v>0</v>
      </c>
      <c r="C5820" s="5">
        <f t="shared" si="68"/>
        <v>5815</v>
      </c>
      <c r="D5820" s="6"/>
    </row>
    <row r="5821" spans="1:4" x14ac:dyDescent="0.2">
      <c r="A5821">
        <v>5816</v>
      </c>
      <c r="B5821" s="14">
        <f>'EstRev 6-11'!I17</f>
        <v>0</v>
      </c>
      <c r="C5821" s="5">
        <f t="shared" si="68"/>
        <v>5816</v>
      </c>
      <c r="D5821" s="6"/>
    </row>
    <row r="5822" spans="1:4" x14ac:dyDescent="0.2">
      <c r="A5822">
        <v>5817</v>
      </c>
      <c r="B5822" s="14">
        <f>'EstRev 6-11'!I18</f>
        <v>0</v>
      </c>
      <c r="C5822" s="5">
        <f t="shared" si="68"/>
        <v>5817</v>
      </c>
      <c r="D5822" s="6"/>
    </row>
    <row r="5823" spans="1:4" x14ac:dyDescent="0.2">
      <c r="A5823">
        <v>5818</v>
      </c>
      <c r="B5823" s="14">
        <f>'EstRev 6-11'!I65</f>
        <v>0</v>
      </c>
      <c r="C5823" s="5">
        <f t="shared" si="68"/>
        <v>5818</v>
      </c>
      <c r="D5823" s="6"/>
    </row>
    <row r="5824" spans="1:4" x14ac:dyDescent="0.2">
      <c r="A5824">
        <v>5819</v>
      </c>
      <c r="B5824" s="14">
        <f>'EstRev 6-11'!I66</f>
        <v>0</v>
      </c>
      <c r="C5824" s="5">
        <f t="shared" si="68"/>
        <v>5819</v>
      </c>
      <c r="D5824" s="6"/>
    </row>
    <row r="5825" spans="1:4" x14ac:dyDescent="0.2">
      <c r="A5825">
        <v>5820</v>
      </c>
      <c r="B5825" s="14">
        <f>'EstRev 6-11'!I67</f>
        <v>0</v>
      </c>
      <c r="C5825" s="5">
        <f t="shared" si="68"/>
        <v>5820</v>
      </c>
      <c r="D5825" s="6"/>
    </row>
    <row r="5826" spans="1:4" x14ac:dyDescent="0.2">
      <c r="A5826">
        <v>5821</v>
      </c>
      <c r="B5826" s="14">
        <f>'EstRev 6-11'!I98</f>
        <v>0</v>
      </c>
      <c r="C5826" s="5">
        <f t="shared" si="68"/>
        <v>5821</v>
      </c>
      <c r="D5826" s="6"/>
    </row>
    <row r="5827" spans="1:4" x14ac:dyDescent="0.2">
      <c r="A5827">
        <v>5822</v>
      </c>
      <c r="B5827" s="14">
        <f>'EstRev 6-11'!I101</f>
        <v>0</v>
      </c>
      <c r="C5827" s="5">
        <f t="shared" si="68"/>
        <v>5822</v>
      </c>
      <c r="D5827" s="6"/>
    </row>
    <row r="5828" spans="1:4" x14ac:dyDescent="0.2">
      <c r="A5828">
        <v>5823</v>
      </c>
      <c r="B5828" s="14">
        <f>'EstRev 6-11'!I106</f>
        <v>0</v>
      </c>
      <c r="C5828" s="5">
        <f t="shared" si="68"/>
        <v>5823</v>
      </c>
      <c r="D5828" s="6"/>
    </row>
    <row r="5829" spans="1:4" x14ac:dyDescent="0.2">
      <c r="A5829">
        <v>5824</v>
      </c>
      <c r="B5829" s="14">
        <f>'EstRev 6-11'!I109</f>
        <v>1400000</v>
      </c>
      <c r="C5829" s="5">
        <f t="shared" si="68"/>
        <v>-1394176</v>
      </c>
      <c r="D5829" s="6"/>
    </row>
    <row r="5830" spans="1:4" x14ac:dyDescent="0.2">
      <c r="A5830">
        <v>5825</v>
      </c>
      <c r="B5830" s="14">
        <f>'EstRev 6-11'!I110</f>
        <v>1400000</v>
      </c>
      <c r="C5830" s="5">
        <f t="shared" si="68"/>
        <v>-1394175</v>
      </c>
      <c r="D5830" s="6"/>
    </row>
    <row r="5831" spans="1:4" x14ac:dyDescent="0.2">
      <c r="A5831">
        <v>5826</v>
      </c>
      <c r="B5831" s="14">
        <f>'EstRev 6-11'!I120</f>
        <v>0</v>
      </c>
      <c r="C5831" s="5">
        <f t="shared" si="68"/>
        <v>5826</v>
      </c>
      <c r="D5831" s="6"/>
    </row>
    <row r="5832" spans="1:4" x14ac:dyDescent="0.2">
      <c r="A5832">
        <v>5827</v>
      </c>
      <c r="B5832" s="14">
        <f>'EstRev 6-11'!I121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6-11'!I124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6-11'!I171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6-11'!I172</f>
        <v>0</v>
      </c>
      <c r="C5850" s="5">
        <f t="shared" si="69"/>
        <v>5845</v>
      </c>
      <c r="D5850" s="6"/>
    </row>
    <row r="5851" spans="1:4" x14ac:dyDescent="0.2">
      <c r="A5851">
        <v>5846</v>
      </c>
      <c r="B5851" s="14">
        <f>'EstRev 6-11'!I180</f>
        <v>0</v>
      </c>
      <c r="C5851" s="5">
        <f t="shared" si="69"/>
        <v>5846</v>
      </c>
      <c r="D5851" s="6"/>
    </row>
    <row r="5852" spans="1:4" x14ac:dyDescent="0.2">
      <c r="A5852">
        <v>5847</v>
      </c>
      <c r="B5852" s="14">
        <f>'EstRev 6-11'!I183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6-11'!I269</f>
        <v>1380000</v>
      </c>
      <c r="C5858" s="5">
        <f t="shared" si="69"/>
        <v>-1374147</v>
      </c>
      <c r="D5858" s="6"/>
    </row>
    <row r="5859" spans="1:4" x14ac:dyDescent="0.2">
      <c r="A5859">
        <v>5854</v>
      </c>
      <c r="B5859" s="14">
        <f>'EstRev 6-11'!I270</f>
        <v>2780000</v>
      </c>
      <c r="C5859" s="5">
        <f t="shared" si="69"/>
        <v>-2774146</v>
      </c>
      <c r="D5859" s="6"/>
    </row>
    <row r="5860" spans="1:4" x14ac:dyDescent="0.2">
      <c r="A5860">
        <v>5855</v>
      </c>
      <c r="B5860" s="14">
        <f>'EstRev 6-11'!J5</f>
        <v>0</v>
      </c>
      <c r="C5860" s="5">
        <f t="shared" si="69"/>
        <v>5855</v>
      </c>
      <c r="D5860" s="6"/>
    </row>
    <row r="5861" spans="1:4" x14ac:dyDescent="0.2">
      <c r="A5861">
        <v>5856</v>
      </c>
      <c r="B5861" s="14">
        <f>'EstRev 6-11'!J11</f>
        <v>0</v>
      </c>
      <c r="C5861" s="5">
        <f t="shared" si="69"/>
        <v>5856</v>
      </c>
      <c r="D5861" s="6"/>
    </row>
    <row r="5862" spans="1:4" x14ac:dyDescent="0.2">
      <c r="A5862">
        <v>5857</v>
      </c>
      <c r="B5862" s="14">
        <f>'EstRev 6-11'!J12</f>
        <v>0</v>
      </c>
      <c r="C5862" s="5">
        <f t="shared" si="69"/>
        <v>5857</v>
      </c>
      <c r="D5862" s="6"/>
    </row>
    <row r="5863" spans="1:4" x14ac:dyDescent="0.2">
      <c r="A5863">
        <v>5858</v>
      </c>
      <c r="B5863" s="14">
        <f>'EstRev 6-11'!J14</f>
        <v>0</v>
      </c>
      <c r="C5863" s="5">
        <f t="shared" si="69"/>
        <v>5858</v>
      </c>
      <c r="D5863" s="6"/>
    </row>
    <row r="5864" spans="1:4" x14ac:dyDescent="0.2">
      <c r="A5864">
        <v>5859</v>
      </c>
      <c r="B5864" s="14">
        <f>'EstRev 6-11'!J15</f>
        <v>0</v>
      </c>
      <c r="C5864" s="5">
        <f t="shared" si="69"/>
        <v>5859</v>
      </c>
      <c r="D5864" s="6"/>
    </row>
    <row r="5865" spans="1:4" x14ac:dyDescent="0.2">
      <c r="A5865">
        <v>5860</v>
      </c>
      <c r="B5865" s="14">
        <f>'EstRev 6-11'!J16</f>
        <v>0</v>
      </c>
      <c r="C5865" s="5">
        <f t="shared" si="69"/>
        <v>5860</v>
      </c>
      <c r="D5865" s="6"/>
    </row>
    <row r="5866" spans="1:4" x14ac:dyDescent="0.2">
      <c r="A5866">
        <v>5861</v>
      </c>
      <c r="B5866" s="14">
        <f>'EstRev 6-11'!J17</f>
        <v>0</v>
      </c>
      <c r="C5866" s="5">
        <f t="shared" si="69"/>
        <v>5861</v>
      </c>
      <c r="D5866" s="6"/>
    </row>
    <row r="5867" spans="1:4" x14ac:dyDescent="0.2">
      <c r="A5867">
        <v>5862</v>
      </c>
      <c r="B5867" s="14">
        <f>'EstRev 6-11'!J18</f>
        <v>0</v>
      </c>
      <c r="C5867" s="5">
        <f t="shared" si="69"/>
        <v>5862</v>
      </c>
      <c r="D5867" s="6"/>
    </row>
    <row r="5868" spans="1:4" x14ac:dyDescent="0.2">
      <c r="A5868">
        <v>5863</v>
      </c>
      <c r="B5868" s="14">
        <f>'EstRev 6-11'!J65</f>
        <v>0</v>
      </c>
      <c r="C5868" s="5">
        <f t="shared" si="69"/>
        <v>5863</v>
      </c>
      <c r="D5868" s="6"/>
    </row>
    <row r="5869" spans="1:4" x14ac:dyDescent="0.2">
      <c r="A5869">
        <v>5864</v>
      </c>
      <c r="B5869" s="14">
        <f>'EstRev 6-11'!J66</f>
        <v>0</v>
      </c>
      <c r="C5869" s="5">
        <f t="shared" si="69"/>
        <v>5864</v>
      </c>
      <c r="D5869" s="6"/>
    </row>
    <row r="5870" spans="1:4" x14ac:dyDescent="0.2">
      <c r="A5870">
        <v>5865</v>
      </c>
      <c r="B5870" s="14">
        <f>'EstRev 6-11'!J67</f>
        <v>0</v>
      </c>
      <c r="C5870" s="5">
        <f t="shared" si="69"/>
        <v>5865</v>
      </c>
      <c r="D5870" s="6"/>
    </row>
    <row r="5871" spans="1:4" x14ac:dyDescent="0.2">
      <c r="A5871">
        <v>5866</v>
      </c>
      <c r="B5871" s="14">
        <f>'EstRev 6-11'!J98</f>
        <v>0</v>
      </c>
      <c r="C5871" s="5">
        <f t="shared" si="69"/>
        <v>5866</v>
      </c>
      <c r="D5871" s="6"/>
    </row>
    <row r="5872" spans="1:4" x14ac:dyDescent="0.2">
      <c r="A5872" s="3">
        <v>5867</v>
      </c>
      <c r="D5872" s="7"/>
    </row>
    <row r="5873" spans="1:4" x14ac:dyDescent="0.2">
      <c r="A5873">
        <v>5868</v>
      </c>
      <c r="B5873" s="14">
        <f>'EstRev 6-11'!J109</f>
        <v>0</v>
      </c>
      <c r="C5873" s="5">
        <f t="shared" si="69"/>
        <v>5868</v>
      </c>
      <c r="D5873" s="6"/>
    </row>
    <row r="5874" spans="1:4" x14ac:dyDescent="0.2">
      <c r="A5874">
        <v>5869</v>
      </c>
      <c r="B5874" s="14">
        <f>'EstRev 6-11'!J110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6-11'!J270</f>
        <v>0</v>
      </c>
      <c r="C5890" s="5">
        <f t="shared" si="69"/>
        <v>5885</v>
      </c>
      <c r="D5890" s="6"/>
    </row>
    <row r="5891" spans="1:4" x14ac:dyDescent="0.2">
      <c r="A5891" s="3">
        <v>5886</v>
      </c>
      <c r="D5891" s="6" t="s">
        <v>299</v>
      </c>
    </row>
    <row r="5892" spans="1:4" x14ac:dyDescent="0.2">
      <c r="A5892" s="3">
        <v>5887</v>
      </c>
      <c r="D5892" s="6" t="s">
        <v>299</v>
      </c>
    </row>
    <row r="5893" spans="1:4" x14ac:dyDescent="0.2">
      <c r="A5893" s="3">
        <v>5888</v>
      </c>
      <c r="D5893" s="6" t="s">
        <v>299</v>
      </c>
    </row>
    <row r="5894" spans="1:4" x14ac:dyDescent="0.2">
      <c r="A5894" s="3">
        <v>5889</v>
      </c>
      <c r="D5894" s="6" t="s">
        <v>299</v>
      </c>
    </row>
    <row r="5895" spans="1:4" x14ac:dyDescent="0.2">
      <c r="A5895" s="3">
        <v>5890</v>
      </c>
      <c r="D5895" s="6" t="s">
        <v>299</v>
      </c>
    </row>
    <row r="5896" spans="1:4" x14ac:dyDescent="0.2">
      <c r="A5896" s="3">
        <v>5891</v>
      </c>
      <c r="D5896" s="6" t="s">
        <v>299</v>
      </c>
    </row>
    <row r="5897" spans="1:4" x14ac:dyDescent="0.2">
      <c r="A5897" s="3">
        <v>5892</v>
      </c>
      <c r="D5897" s="6" t="s">
        <v>299</v>
      </c>
    </row>
    <row r="5898" spans="1:4" x14ac:dyDescent="0.2">
      <c r="A5898" s="3">
        <v>5893</v>
      </c>
      <c r="D5898" s="6" t="s">
        <v>299</v>
      </c>
    </row>
    <row r="5899" spans="1:4" x14ac:dyDescent="0.2">
      <c r="A5899" s="3">
        <v>5894</v>
      </c>
      <c r="D5899" s="6" t="s">
        <v>299</v>
      </c>
    </row>
    <row r="5900" spans="1:4" x14ac:dyDescent="0.2">
      <c r="A5900" s="3">
        <v>5895</v>
      </c>
      <c r="D5900" s="6" t="s">
        <v>299</v>
      </c>
    </row>
    <row r="5901" spans="1:4" x14ac:dyDescent="0.2">
      <c r="A5901" s="3">
        <v>5896</v>
      </c>
      <c r="D5901" s="6" t="s">
        <v>299</v>
      </c>
    </row>
    <row r="5902" spans="1:4" x14ac:dyDescent="0.2">
      <c r="A5902" s="3">
        <v>5897</v>
      </c>
      <c r="D5902" s="6" t="s">
        <v>299</v>
      </c>
    </row>
    <row r="5903" spans="1:4" x14ac:dyDescent="0.2">
      <c r="A5903" s="3">
        <v>5898</v>
      </c>
      <c r="D5903" s="6" t="s">
        <v>299</v>
      </c>
    </row>
    <row r="5904" spans="1:4" x14ac:dyDescent="0.2">
      <c r="A5904" s="3">
        <v>5899</v>
      </c>
      <c r="D5904" s="6" t="s">
        <v>299</v>
      </c>
    </row>
    <row r="5905" spans="1:4" x14ac:dyDescent="0.2">
      <c r="A5905" s="3">
        <v>5900</v>
      </c>
      <c r="D5905" s="6" t="s">
        <v>299</v>
      </c>
    </row>
    <row r="5906" spans="1:4" x14ac:dyDescent="0.2">
      <c r="A5906" s="3">
        <v>5901</v>
      </c>
      <c r="D5906" s="6" t="s">
        <v>299</v>
      </c>
    </row>
    <row r="5907" spans="1:4" x14ac:dyDescent="0.2">
      <c r="A5907" s="3">
        <v>5902</v>
      </c>
      <c r="D5907" s="6" t="s">
        <v>299</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299</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299</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299</v>
      </c>
    </row>
    <row r="5929" spans="1:4" x14ac:dyDescent="0.2">
      <c r="A5929">
        <v>5924</v>
      </c>
      <c r="B5929" s="14">
        <f>'EstRev 6-11'!L5</f>
        <v>0</v>
      </c>
      <c r="C5929" s="5">
        <f t="shared" ref="C5929:C5958" si="70">A5929-B5929</f>
        <v>5924</v>
      </c>
      <c r="D5929" s="6"/>
    </row>
    <row r="5930" spans="1:4" x14ac:dyDescent="0.2">
      <c r="A5930">
        <v>5925</v>
      </c>
      <c r="B5930" s="14">
        <f>'EstRev 6-11'!L11</f>
        <v>0</v>
      </c>
      <c r="C5930" s="5">
        <f t="shared" si="70"/>
        <v>5925</v>
      </c>
      <c r="D5930" s="6"/>
    </row>
    <row r="5931" spans="1:4" x14ac:dyDescent="0.2">
      <c r="A5931">
        <v>5926</v>
      </c>
      <c r="B5931" s="14">
        <f>'EstRev 6-11'!L12</f>
        <v>0</v>
      </c>
      <c r="C5931" s="5">
        <f t="shared" si="70"/>
        <v>5926</v>
      </c>
      <c r="D5931" s="6"/>
    </row>
    <row r="5932" spans="1:4" x14ac:dyDescent="0.2">
      <c r="A5932">
        <v>5927</v>
      </c>
      <c r="B5932" s="14">
        <f>'EstRev 6-11'!L14</f>
        <v>0</v>
      </c>
      <c r="C5932" s="5">
        <f t="shared" si="70"/>
        <v>5927</v>
      </c>
      <c r="D5932" s="6"/>
    </row>
    <row r="5933" spans="1:4" x14ac:dyDescent="0.2">
      <c r="A5933">
        <v>5928</v>
      </c>
      <c r="B5933" s="14">
        <f>'EstRev 6-11'!L15</f>
        <v>0</v>
      </c>
      <c r="C5933" s="5">
        <f t="shared" si="70"/>
        <v>5928</v>
      </c>
      <c r="D5933" s="6"/>
    </row>
    <row r="5934" spans="1:4" x14ac:dyDescent="0.2">
      <c r="A5934">
        <v>5929</v>
      </c>
      <c r="B5934" s="14">
        <f>'EstRev 6-11'!L16</f>
        <v>0</v>
      </c>
      <c r="C5934" s="5">
        <f t="shared" si="70"/>
        <v>5929</v>
      </c>
      <c r="D5934" s="6"/>
    </row>
    <row r="5935" spans="1:4" x14ac:dyDescent="0.2">
      <c r="A5935">
        <v>5930</v>
      </c>
      <c r="B5935" s="14">
        <f>'EstRev 6-11'!L17</f>
        <v>0</v>
      </c>
      <c r="C5935" s="5">
        <f t="shared" si="70"/>
        <v>5930</v>
      </c>
      <c r="D5935" s="6"/>
    </row>
    <row r="5936" spans="1:4" x14ac:dyDescent="0.2">
      <c r="A5936">
        <v>5931</v>
      </c>
      <c r="B5936" s="14">
        <f>'EstRev 6-11'!L18</f>
        <v>0</v>
      </c>
      <c r="C5936" s="5">
        <f t="shared" si="70"/>
        <v>5931</v>
      </c>
      <c r="D5936" s="6"/>
    </row>
    <row r="5937" spans="1:4" x14ac:dyDescent="0.2">
      <c r="A5937">
        <v>5932</v>
      </c>
      <c r="B5937" s="14">
        <f>'EstRev 6-11'!L65</f>
        <v>0</v>
      </c>
      <c r="C5937" s="5">
        <f t="shared" si="70"/>
        <v>5932</v>
      </c>
      <c r="D5937" s="6"/>
    </row>
    <row r="5938" spans="1:4" x14ac:dyDescent="0.2">
      <c r="A5938">
        <v>5933</v>
      </c>
      <c r="B5938" s="14">
        <f>'EstRev 6-11'!L66</f>
        <v>0</v>
      </c>
      <c r="C5938" s="5">
        <f t="shared" si="70"/>
        <v>5933</v>
      </c>
      <c r="D5938" s="6"/>
    </row>
    <row r="5939" spans="1:4" x14ac:dyDescent="0.2">
      <c r="A5939">
        <v>5934</v>
      </c>
      <c r="B5939" s="14">
        <f>'EstRev 6-11'!L67</f>
        <v>0</v>
      </c>
      <c r="C5939" s="5">
        <f t="shared" si="70"/>
        <v>5934</v>
      </c>
      <c r="D5939" s="6"/>
    </row>
    <row r="5940" spans="1:4" x14ac:dyDescent="0.2">
      <c r="A5940">
        <v>5935</v>
      </c>
      <c r="B5940" s="14">
        <f>'EstRev 6-11'!L98</f>
        <v>0</v>
      </c>
      <c r="C5940" s="5">
        <f t="shared" si="70"/>
        <v>5935</v>
      </c>
      <c r="D5940" s="6"/>
    </row>
    <row r="5941" spans="1:4" x14ac:dyDescent="0.2">
      <c r="A5941">
        <v>5936</v>
      </c>
      <c r="B5941" s="14">
        <f>'EstRev 6-11'!L101</f>
        <v>0</v>
      </c>
      <c r="C5941" s="5">
        <f t="shared" si="70"/>
        <v>5936</v>
      </c>
      <c r="D5941" s="6"/>
    </row>
    <row r="5942" spans="1:4" x14ac:dyDescent="0.2">
      <c r="A5942">
        <v>5937</v>
      </c>
      <c r="B5942" s="14">
        <f>'EstRev 6-11'!L109</f>
        <v>0</v>
      </c>
      <c r="C5942" s="5">
        <f t="shared" si="70"/>
        <v>5937</v>
      </c>
      <c r="D5942" s="6"/>
    </row>
    <row r="5943" spans="1:4" x14ac:dyDescent="0.2">
      <c r="A5943">
        <v>5938</v>
      </c>
      <c r="B5943" s="14">
        <f>'EstRev 6-11'!L110</f>
        <v>0</v>
      </c>
      <c r="C5943" s="5">
        <f t="shared" si="70"/>
        <v>5938</v>
      </c>
      <c r="D5943" s="6"/>
    </row>
    <row r="5944" spans="1:4" x14ac:dyDescent="0.2">
      <c r="A5944">
        <v>5939</v>
      </c>
      <c r="B5944" s="14">
        <f>'EstRev 6-11'!L120</f>
        <v>0</v>
      </c>
      <c r="C5944" s="5">
        <f t="shared" si="70"/>
        <v>5939</v>
      </c>
      <c r="D5944" s="6"/>
    </row>
    <row r="5945" spans="1:4" x14ac:dyDescent="0.2">
      <c r="A5945">
        <v>5940</v>
      </c>
      <c r="B5945" s="14">
        <f>'EstRev 6-11'!L121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6-11'!L124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6-11'!L172</f>
        <v>0</v>
      </c>
      <c r="C5958" s="5">
        <f t="shared" si="70"/>
        <v>5953</v>
      </c>
      <c r="D5958" s="6"/>
    </row>
    <row r="5959" spans="1:4" x14ac:dyDescent="0.2">
      <c r="A5959" s="3">
        <v>5954</v>
      </c>
      <c r="D5959" s="7"/>
    </row>
    <row r="5960" spans="1:4" x14ac:dyDescent="0.2">
      <c r="A5960">
        <v>5955</v>
      </c>
      <c r="B5960" s="14">
        <f>'EstRev 6-11'!L183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6-11'!L269</f>
        <v>0</v>
      </c>
      <c r="C5966" s="5">
        <f t="shared" si="71"/>
        <v>5961</v>
      </c>
      <c r="D5966" s="6"/>
    </row>
    <row r="5967" spans="1:4" x14ac:dyDescent="0.2">
      <c r="A5967">
        <v>5962</v>
      </c>
      <c r="B5967" s="14">
        <f>'EstRev 6-11'!L270</f>
        <v>0</v>
      </c>
      <c r="C5967" s="5">
        <f t="shared" si="71"/>
        <v>5962</v>
      </c>
      <c r="D5967" s="6"/>
    </row>
    <row r="5968" spans="1:4" x14ac:dyDescent="0.2">
      <c r="A5968">
        <v>5963</v>
      </c>
      <c r="B5968" s="14">
        <f>'EstRev 6-11'!H111</f>
        <v>3400000</v>
      </c>
      <c r="C5968" s="5">
        <f t="shared" si="71"/>
        <v>-3394037</v>
      </c>
      <c r="D5968" s="6"/>
    </row>
    <row r="5969" spans="1:4" x14ac:dyDescent="0.2">
      <c r="A5969">
        <v>5964</v>
      </c>
      <c r="B5969" s="14">
        <f>'EstRev 6-11'!I111</f>
        <v>1400000</v>
      </c>
      <c r="C5969" s="5">
        <f t="shared" si="71"/>
        <v>-1394036</v>
      </c>
      <c r="D5969" s="6"/>
    </row>
    <row r="5970" spans="1:4" x14ac:dyDescent="0.2">
      <c r="A5970">
        <v>5965</v>
      </c>
      <c r="B5970" s="14">
        <f>'EstRev 6-11'!J111</f>
        <v>0</v>
      </c>
      <c r="C5970" s="5">
        <f t="shared" si="71"/>
        <v>5965</v>
      </c>
      <c r="D5970" s="6"/>
    </row>
    <row r="5971" spans="1:4" x14ac:dyDescent="0.2">
      <c r="A5971" s="3">
        <v>5966</v>
      </c>
      <c r="D5971" s="6" t="s">
        <v>299</v>
      </c>
    </row>
    <row r="5972" spans="1:4" x14ac:dyDescent="0.2">
      <c r="A5972">
        <v>5967</v>
      </c>
      <c r="B5972" s="14">
        <f>'EstRev 6-11'!L111</f>
        <v>0</v>
      </c>
      <c r="C5972" s="5">
        <f t="shared" si="71"/>
        <v>5967</v>
      </c>
      <c r="D5972" s="6"/>
    </row>
    <row r="5973" spans="1:4" x14ac:dyDescent="0.2">
      <c r="A5973" s="3">
        <v>5968</v>
      </c>
      <c r="D5973" s="7"/>
    </row>
    <row r="5974" spans="1:4" x14ac:dyDescent="0.2">
      <c r="A5974" s="3">
        <v>5969</v>
      </c>
      <c r="D5974" s="7"/>
    </row>
    <row r="5975" spans="1:4" x14ac:dyDescent="0.2">
      <c r="A5975">
        <v>5970</v>
      </c>
      <c r="B5975" s="14">
        <f>'EstRev 6-11'!D69</f>
        <v>100000</v>
      </c>
      <c r="C5975" s="5">
        <f t="shared" si="71"/>
        <v>-94030</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360000</v>
      </c>
      <c r="C5982" s="5">
        <f t="shared" si="71"/>
        <v>-354023</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840</v>
      </c>
      <c r="C5985" s="5">
        <f t="shared" si="71"/>
        <v>5140</v>
      </c>
      <c r="D5985" s="11" t="s">
        <v>63</v>
      </c>
    </row>
    <row r="5986" spans="1:4" x14ac:dyDescent="0.2">
      <c r="A5986">
        <v>5981</v>
      </c>
      <c r="B5986" s="14">
        <f>'BudgetSum 2-4'!J5</f>
        <v>360000</v>
      </c>
      <c r="C5986" s="5">
        <f t="shared" si="71"/>
        <v>-354019</v>
      </c>
      <c r="D5986" s="11" t="s">
        <v>63</v>
      </c>
    </row>
    <row r="5987" spans="1:4" x14ac:dyDescent="0.2">
      <c r="A5987">
        <v>5982</v>
      </c>
      <c r="B5987" s="14">
        <f>'BudgetSum 2-4'!J7</f>
        <v>0</v>
      </c>
      <c r="C5987" s="5">
        <f t="shared" si="71"/>
        <v>5982</v>
      </c>
      <c r="D5987" s="11" t="s">
        <v>63</v>
      </c>
    </row>
    <row r="5988" spans="1:4" x14ac:dyDescent="0.2">
      <c r="A5988">
        <v>5983</v>
      </c>
      <c r="B5988" s="14">
        <f>'BudgetSum 2-4'!J8</f>
        <v>0</v>
      </c>
      <c r="C5988" s="5">
        <f t="shared" si="71"/>
        <v>5983</v>
      </c>
      <c r="D5988" s="11" t="s">
        <v>63</v>
      </c>
    </row>
    <row r="5989" spans="1:4" x14ac:dyDescent="0.2">
      <c r="A5989">
        <v>5984</v>
      </c>
      <c r="B5989" s="14">
        <f>'BudgetSum 2-4'!J9</f>
        <v>360000</v>
      </c>
      <c r="C5989" s="5">
        <f t="shared" si="71"/>
        <v>-354016</v>
      </c>
      <c r="D5989" s="11" t="s">
        <v>63</v>
      </c>
    </row>
    <row r="5990" spans="1:4" x14ac:dyDescent="0.2">
      <c r="A5990">
        <v>5985</v>
      </c>
      <c r="B5990" s="14">
        <f>'BudgetSum 2-4'!J10</f>
        <v>0</v>
      </c>
      <c r="C5990" s="5">
        <f t="shared" si="71"/>
        <v>5985</v>
      </c>
      <c r="D5990" s="11" t="s">
        <v>63</v>
      </c>
    </row>
    <row r="5991" spans="1:4" x14ac:dyDescent="0.2">
      <c r="A5991">
        <v>5986</v>
      </c>
      <c r="B5991" s="14">
        <f>'BudgetSum 2-4'!J11</f>
        <v>360000</v>
      </c>
      <c r="C5991" s="5">
        <f t="shared" si="71"/>
        <v>-354014</v>
      </c>
      <c r="D5991" s="11" t="s">
        <v>63</v>
      </c>
    </row>
    <row r="5992" spans="1:4" x14ac:dyDescent="0.2">
      <c r="A5992" s="3">
        <v>5987</v>
      </c>
      <c r="D5992" s="11" t="s">
        <v>777</v>
      </c>
    </row>
    <row r="5993" spans="1:4" x14ac:dyDescent="0.2">
      <c r="A5993">
        <v>5988</v>
      </c>
      <c r="B5993" s="14">
        <f>'BudgetSum 2-4'!J19</f>
        <v>360000</v>
      </c>
      <c r="C5993" s="5">
        <f t="shared" si="71"/>
        <v>-354012</v>
      </c>
      <c r="D5993" s="11" t="s">
        <v>63</v>
      </c>
    </row>
    <row r="5994" spans="1:4" x14ac:dyDescent="0.2">
      <c r="A5994">
        <v>5989</v>
      </c>
      <c r="B5994" s="14">
        <f>'BudgetSum 2-4'!J20</f>
        <v>0</v>
      </c>
      <c r="C5994" s="5">
        <f t="shared" si="71"/>
        <v>5989</v>
      </c>
      <c r="D5994" s="11" t="s">
        <v>63</v>
      </c>
    </row>
    <row r="5995" spans="1:4" x14ac:dyDescent="0.2">
      <c r="A5995">
        <v>5990</v>
      </c>
      <c r="B5995" s="14">
        <f>'BudgetSum 2-4'!J21</f>
        <v>360000</v>
      </c>
      <c r="C5995" s="5">
        <f t="shared" si="71"/>
        <v>-354010</v>
      </c>
      <c r="D5995" s="11" t="s">
        <v>63</v>
      </c>
    </row>
    <row r="5996" spans="1:4" x14ac:dyDescent="0.2">
      <c r="A5996">
        <v>5991</v>
      </c>
      <c r="B5996" s="14">
        <f>'BudgetSum 2-4'!J22</f>
        <v>0</v>
      </c>
      <c r="C5996" s="5">
        <f t="shared" si="71"/>
        <v>5991</v>
      </c>
      <c r="D5996" s="11" t="s">
        <v>63</v>
      </c>
    </row>
    <row r="5997" spans="1:4" x14ac:dyDescent="0.2">
      <c r="A5997">
        <v>5992</v>
      </c>
      <c r="B5997" s="14">
        <f>'BudgetSum 2-4'!J28</f>
        <v>0</v>
      </c>
      <c r="C5997" s="5">
        <f t="shared" si="71"/>
        <v>5992</v>
      </c>
      <c r="D5997" s="11" t="s">
        <v>63</v>
      </c>
    </row>
    <row r="5998" spans="1:4" x14ac:dyDescent="0.2">
      <c r="A5998" s="2">
        <v>5993</v>
      </c>
      <c r="B5998" s="14">
        <f>'BudgetSum 2-4'!J30</f>
        <v>0</v>
      </c>
      <c r="C5998" s="5">
        <f t="shared" si="71"/>
        <v>5993</v>
      </c>
      <c r="D5998" s="11" t="s">
        <v>63</v>
      </c>
    </row>
    <row r="5999" spans="1:4" x14ac:dyDescent="0.2">
      <c r="A5999" s="2">
        <v>5994</v>
      </c>
      <c r="B5999" s="14">
        <f>'BudgetSum 2-4'!J35</f>
        <v>0</v>
      </c>
      <c r="C5999" s="5">
        <f t="shared" si="71"/>
        <v>5994</v>
      </c>
      <c r="D5999" s="11" t="s">
        <v>63</v>
      </c>
    </row>
    <row r="6000" spans="1:4" x14ac:dyDescent="0.2">
      <c r="A6000" s="2">
        <v>5995</v>
      </c>
      <c r="B6000" s="14">
        <f>'BudgetSum 2-4'!J36</f>
        <v>0</v>
      </c>
      <c r="C6000" s="5">
        <f t="shared" si="71"/>
        <v>5995</v>
      </c>
      <c r="D6000" s="11" t="s">
        <v>63</v>
      </c>
    </row>
    <row r="6001" spans="1:4" x14ac:dyDescent="0.2">
      <c r="A6001" s="2">
        <v>5996</v>
      </c>
      <c r="B6001" s="14">
        <f>'BudgetSum 2-4'!J37</f>
        <v>0</v>
      </c>
      <c r="C6001" s="5">
        <f t="shared" si="71"/>
        <v>5996</v>
      </c>
      <c r="D6001" s="11" t="s">
        <v>63</v>
      </c>
    </row>
    <row r="6002" spans="1:4" x14ac:dyDescent="0.2">
      <c r="A6002" s="2">
        <v>5997</v>
      </c>
      <c r="B6002" s="14">
        <f>'BudgetSum 2-4'!J38</f>
        <v>0</v>
      </c>
      <c r="C6002" s="5">
        <f t="shared" si="71"/>
        <v>5997</v>
      </c>
      <c r="D6002" s="11" t="s">
        <v>63</v>
      </c>
    </row>
    <row r="6003" spans="1:4" x14ac:dyDescent="0.2">
      <c r="A6003" s="2">
        <v>5998</v>
      </c>
      <c r="B6003" s="14">
        <f>'BudgetSum 2-4'!E39</f>
        <v>0</v>
      </c>
      <c r="C6003" s="5">
        <f t="shared" si="71"/>
        <v>5998</v>
      </c>
      <c r="D6003" s="11" t="s">
        <v>63</v>
      </c>
    </row>
    <row r="6004" spans="1:4" x14ac:dyDescent="0.2">
      <c r="A6004" s="2">
        <v>5999</v>
      </c>
      <c r="B6004" s="14">
        <f>'BudgetSum 2-4'!E40</f>
        <v>0</v>
      </c>
      <c r="C6004" s="5">
        <f t="shared" si="71"/>
        <v>5999</v>
      </c>
      <c r="D6004" s="11" t="s">
        <v>63</v>
      </c>
    </row>
    <row r="6005" spans="1:4" x14ac:dyDescent="0.2">
      <c r="A6005" s="2">
        <v>6000</v>
      </c>
      <c r="B6005" s="14">
        <f>'BudgetSum 2-4'!E41</f>
        <v>0</v>
      </c>
      <c r="C6005" s="5">
        <f t="shared" si="71"/>
        <v>6000</v>
      </c>
      <c r="D6005" s="11" t="s">
        <v>63</v>
      </c>
    </row>
    <row r="6006" spans="1:4" x14ac:dyDescent="0.2">
      <c r="A6006" s="2">
        <v>6001</v>
      </c>
      <c r="B6006" s="14">
        <f>'BudgetSum 2-4'!E42</f>
        <v>0</v>
      </c>
      <c r="C6006" s="5">
        <f t="shared" si="71"/>
        <v>6001</v>
      </c>
      <c r="D6006" s="11" t="s">
        <v>63</v>
      </c>
    </row>
    <row r="6007" spans="1:4" x14ac:dyDescent="0.2">
      <c r="A6007" s="2">
        <v>6002</v>
      </c>
      <c r="B6007" s="14">
        <f>'BudgetSum 2-4'!C44</f>
        <v>0</v>
      </c>
      <c r="C6007" s="5">
        <f t="shared" si="71"/>
        <v>6002</v>
      </c>
      <c r="D6007" s="11" t="s">
        <v>63</v>
      </c>
    </row>
    <row r="6008" spans="1:4" x14ac:dyDescent="0.2">
      <c r="A6008" s="2">
        <v>6003</v>
      </c>
      <c r="B6008" s="14">
        <f>'BudgetSum 2-4'!D44</f>
        <v>0</v>
      </c>
      <c r="C6008" s="5">
        <f t="shared" si="71"/>
        <v>6003</v>
      </c>
      <c r="D6008" s="11" t="s">
        <v>63</v>
      </c>
    </row>
    <row r="6009" spans="1:4" x14ac:dyDescent="0.2">
      <c r="A6009" s="2">
        <v>6004</v>
      </c>
      <c r="B6009" s="14">
        <f>'BudgetSum 2-4'!E44</f>
        <v>0</v>
      </c>
      <c r="C6009" s="5">
        <f t="shared" si="71"/>
        <v>6004</v>
      </c>
      <c r="D6009" s="11" t="s">
        <v>63</v>
      </c>
    </row>
    <row r="6010" spans="1:4" x14ac:dyDescent="0.2">
      <c r="A6010" s="2">
        <v>6005</v>
      </c>
      <c r="B6010" s="14">
        <f>'BudgetSum 2-4'!F44</f>
        <v>0</v>
      </c>
      <c r="C6010" s="5">
        <f t="shared" si="71"/>
        <v>6005</v>
      </c>
      <c r="D6010" s="11" t="s">
        <v>63</v>
      </c>
    </row>
    <row r="6011" spans="1:4" x14ac:dyDescent="0.2">
      <c r="A6011" s="1">
        <v>6006</v>
      </c>
      <c r="B6011" s="14">
        <f>'BudgetSum 2-4'!G44</f>
        <v>0</v>
      </c>
      <c r="C6011" s="5">
        <f t="shared" si="71"/>
        <v>6006</v>
      </c>
      <c r="D6011" s="11" t="s">
        <v>63</v>
      </c>
    </row>
    <row r="6012" spans="1:4" x14ac:dyDescent="0.2">
      <c r="A6012" s="1">
        <v>6007</v>
      </c>
      <c r="B6012" s="14">
        <f>'BudgetSum 2-4'!H43</f>
        <v>0</v>
      </c>
      <c r="C6012" s="5">
        <f t="shared" si="71"/>
        <v>6007</v>
      </c>
      <c r="D6012" s="11" t="s">
        <v>63</v>
      </c>
    </row>
    <row r="6013" spans="1:4" x14ac:dyDescent="0.2">
      <c r="A6013" s="1">
        <v>6008</v>
      </c>
      <c r="B6013" s="14">
        <f>'BudgetSum 2-4'!H44</f>
        <v>0</v>
      </c>
      <c r="C6013" s="5">
        <f t="shared" si="71"/>
        <v>6008</v>
      </c>
      <c r="D6013" s="11" t="s">
        <v>63</v>
      </c>
    </row>
    <row r="6014" spans="1:4" x14ac:dyDescent="0.2">
      <c r="A6014" s="1">
        <v>6009</v>
      </c>
      <c r="B6014" s="14">
        <f>'BudgetSum 2-4'!K44</f>
        <v>0</v>
      </c>
      <c r="C6014" s="5">
        <f t="shared" si="71"/>
        <v>6009</v>
      </c>
      <c r="D6014" s="11" t="s">
        <v>63</v>
      </c>
    </row>
    <row r="6015" spans="1:4" x14ac:dyDescent="0.2">
      <c r="A6015" s="1">
        <v>6010</v>
      </c>
      <c r="B6015" s="14">
        <f>'BudgetSum 2-4'!J46</f>
        <v>0</v>
      </c>
      <c r="C6015" s="5">
        <f t="shared" si="71"/>
        <v>6010</v>
      </c>
      <c r="D6015" s="11" t="s">
        <v>63</v>
      </c>
    </row>
    <row r="6016" spans="1:4" x14ac:dyDescent="0.2">
      <c r="A6016" s="1">
        <v>6011</v>
      </c>
      <c r="B6016" s="14">
        <f>'BudgetSum 2-4'!C57</f>
        <v>0</v>
      </c>
      <c r="C6016" s="5">
        <f t="shared" si="71"/>
        <v>6011</v>
      </c>
      <c r="D6016" s="11" t="s">
        <v>63</v>
      </c>
    </row>
    <row r="6017" spans="1:4" x14ac:dyDescent="0.2">
      <c r="A6017" s="1">
        <v>6012</v>
      </c>
      <c r="B6017" s="14">
        <f>'BudgetSum 2-4'!D57</f>
        <v>0</v>
      </c>
      <c r="C6017" s="5">
        <f t="shared" si="71"/>
        <v>6012</v>
      </c>
      <c r="D6017" s="11" t="s">
        <v>63</v>
      </c>
    </row>
    <row r="6018" spans="1:4" x14ac:dyDescent="0.2">
      <c r="A6018" s="1">
        <v>6013</v>
      </c>
      <c r="B6018" s="14">
        <f>'BudgetSum 2-4'!H57</f>
        <v>0</v>
      </c>
      <c r="C6018" s="5">
        <f t="shared" si="71"/>
        <v>6013</v>
      </c>
      <c r="D6018" s="11" t="s">
        <v>63</v>
      </c>
    </row>
    <row r="6019" spans="1:4" x14ac:dyDescent="0.2">
      <c r="A6019" s="1">
        <v>6014</v>
      </c>
      <c r="B6019" s="15">
        <f>'BudgetSum 2-4'!C61</f>
        <v>0</v>
      </c>
      <c r="C6019" s="5">
        <f t="shared" si="71"/>
        <v>6014</v>
      </c>
      <c r="D6019" s="11" t="s">
        <v>63</v>
      </c>
    </row>
    <row r="6020" spans="1:4" x14ac:dyDescent="0.2">
      <c r="A6020">
        <v>6015</v>
      </c>
      <c r="B6020" s="15">
        <f>'BudgetSum 2-4'!D61</f>
        <v>0</v>
      </c>
      <c r="C6020" s="5">
        <f t="shared" si="71"/>
        <v>6015</v>
      </c>
      <c r="D6020" s="11" t="s">
        <v>63</v>
      </c>
    </row>
    <row r="6021" spans="1:4" x14ac:dyDescent="0.2">
      <c r="A6021">
        <v>6016</v>
      </c>
      <c r="B6021" s="15">
        <f>'BudgetSum 2-4'!H61</f>
        <v>0</v>
      </c>
      <c r="C6021" s="5">
        <f t="shared" si="71"/>
        <v>6016</v>
      </c>
      <c r="D6021" s="11" t="s">
        <v>63</v>
      </c>
    </row>
    <row r="6022" spans="1:4" x14ac:dyDescent="0.2">
      <c r="A6022">
        <v>6017</v>
      </c>
      <c r="B6022" s="15">
        <f>'BudgetSum 2-4'!C65</f>
        <v>0</v>
      </c>
      <c r="C6022" s="5">
        <f t="shared" si="71"/>
        <v>6017</v>
      </c>
      <c r="D6022" s="11" t="s">
        <v>63</v>
      </c>
    </row>
    <row r="6023" spans="1:4" x14ac:dyDescent="0.2">
      <c r="A6023">
        <v>6018</v>
      </c>
      <c r="B6023" s="15">
        <f>'BudgetSum 2-4'!D65</f>
        <v>0</v>
      </c>
      <c r="C6023" s="5">
        <f t="shared" si="71"/>
        <v>6018</v>
      </c>
      <c r="D6023" s="11" t="s">
        <v>63</v>
      </c>
    </row>
    <row r="6024" spans="1:4" x14ac:dyDescent="0.2">
      <c r="A6024">
        <v>6019</v>
      </c>
      <c r="B6024" s="15">
        <f>'BudgetSum 2-4'!C69</f>
        <v>0</v>
      </c>
      <c r="C6024" s="5">
        <f t="shared" ref="C6024:C6087" si="72">A6024-B6024</f>
        <v>6019</v>
      </c>
      <c r="D6024" s="11" t="s">
        <v>63</v>
      </c>
    </row>
    <row r="6025" spans="1:4" x14ac:dyDescent="0.2">
      <c r="A6025">
        <v>6020</v>
      </c>
      <c r="B6025" s="15">
        <f>'BudgetSum 2-4'!D69</f>
        <v>0</v>
      </c>
      <c r="C6025" s="5">
        <f t="shared" si="72"/>
        <v>6020</v>
      </c>
      <c r="D6025" s="11" t="s">
        <v>63</v>
      </c>
    </row>
    <row r="6026" spans="1:4" x14ac:dyDescent="0.2">
      <c r="A6026">
        <v>6021</v>
      </c>
      <c r="B6026" s="15">
        <f>'BudgetSum 2-4'!C73</f>
        <v>0</v>
      </c>
      <c r="C6026" s="5">
        <f t="shared" si="72"/>
        <v>6021</v>
      </c>
      <c r="D6026" s="11" t="s">
        <v>63</v>
      </c>
    </row>
    <row r="6027" spans="1:4" x14ac:dyDescent="0.2">
      <c r="A6027">
        <v>6022</v>
      </c>
      <c r="B6027" s="15">
        <f>'BudgetSum 2-4'!D73</f>
        <v>0</v>
      </c>
      <c r="C6027" s="5">
        <f t="shared" si="72"/>
        <v>6022</v>
      </c>
      <c r="D6027" s="11" t="s">
        <v>63</v>
      </c>
    </row>
    <row r="6028" spans="1:4" x14ac:dyDescent="0.2">
      <c r="A6028" s="3">
        <v>6023</v>
      </c>
      <c r="D6028" s="11" t="s">
        <v>63</v>
      </c>
    </row>
    <row r="6029" spans="1:4" x14ac:dyDescent="0.2">
      <c r="A6029">
        <v>6024</v>
      </c>
      <c r="B6029" s="14">
        <f>'BudgetSum 2-4'!C77</f>
        <v>0</v>
      </c>
      <c r="C6029" s="5">
        <f t="shared" si="72"/>
        <v>6024</v>
      </c>
      <c r="D6029" s="11" t="s">
        <v>63</v>
      </c>
    </row>
    <row r="6030" spans="1:4" x14ac:dyDescent="0.2">
      <c r="A6030">
        <v>6025</v>
      </c>
      <c r="B6030" s="14">
        <f>'BudgetSum 2-4'!D77</f>
        <v>0</v>
      </c>
      <c r="C6030" s="5">
        <f t="shared" si="72"/>
        <v>6025</v>
      </c>
      <c r="D6030" s="11" t="s">
        <v>63</v>
      </c>
    </row>
    <row r="6031" spans="1:4" x14ac:dyDescent="0.2">
      <c r="A6031">
        <v>6026</v>
      </c>
      <c r="B6031" s="14">
        <f>'BudgetSum 2-4'!F77</f>
        <v>0</v>
      </c>
      <c r="C6031" s="5">
        <f t="shared" si="72"/>
        <v>6026</v>
      </c>
      <c r="D6031" s="11" t="s">
        <v>63</v>
      </c>
    </row>
    <row r="6032" spans="1:4" x14ac:dyDescent="0.2">
      <c r="A6032">
        <v>6027</v>
      </c>
      <c r="B6032" s="14">
        <f>'BudgetSum 2-4'!G77</f>
        <v>0</v>
      </c>
      <c r="C6032" s="5">
        <f t="shared" si="72"/>
        <v>6027</v>
      </c>
      <c r="D6032" s="11" t="s">
        <v>63</v>
      </c>
    </row>
    <row r="6033" spans="1:4" x14ac:dyDescent="0.2">
      <c r="A6033">
        <v>6028</v>
      </c>
      <c r="B6033" s="14">
        <f>'BudgetSum 2-4'!H77</f>
        <v>0</v>
      </c>
      <c r="C6033" s="5">
        <f t="shared" si="72"/>
        <v>6028</v>
      </c>
      <c r="D6033" s="11" t="s">
        <v>63</v>
      </c>
    </row>
    <row r="6034" spans="1:4" x14ac:dyDescent="0.2">
      <c r="A6034">
        <v>6029</v>
      </c>
      <c r="B6034" s="14">
        <f>'BudgetSum 2-4'!K77</f>
        <v>0</v>
      </c>
      <c r="C6034" s="5">
        <f t="shared" si="72"/>
        <v>6029</v>
      </c>
      <c r="D6034" s="11" t="s">
        <v>63</v>
      </c>
    </row>
    <row r="6035" spans="1:4" x14ac:dyDescent="0.2">
      <c r="A6035">
        <v>6030</v>
      </c>
      <c r="B6035" s="14">
        <f>'BudgetSum 2-4'!G78</f>
        <v>0</v>
      </c>
      <c r="C6035" s="5">
        <f t="shared" si="72"/>
        <v>6030</v>
      </c>
      <c r="D6035" s="11" t="s">
        <v>63</v>
      </c>
    </row>
    <row r="6036" spans="1:4" x14ac:dyDescent="0.2">
      <c r="A6036">
        <v>6031</v>
      </c>
      <c r="B6036" s="14">
        <f>'BudgetSum 2-4'!I78</f>
        <v>0</v>
      </c>
      <c r="C6036" s="5">
        <f t="shared" si="72"/>
        <v>6031</v>
      </c>
      <c r="D6036" s="11" t="s">
        <v>63</v>
      </c>
    </row>
    <row r="6037" spans="1:4" x14ac:dyDescent="0.2">
      <c r="A6037">
        <v>6032</v>
      </c>
      <c r="B6037" s="14">
        <f>'BudgetSum 2-4'!J78</f>
        <v>0</v>
      </c>
      <c r="C6037" s="5">
        <f t="shared" si="72"/>
        <v>6032</v>
      </c>
      <c r="D6037" s="11" t="s">
        <v>63</v>
      </c>
    </row>
    <row r="6038" spans="1:4" x14ac:dyDescent="0.2">
      <c r="A6038">
        <v>6033</v>
      </c>
      <c r="B6038" s="14">
        <f>'BudgetSum 2-4'!K78</f>
        <v>0</v>
      </c>
      <c r="C6038" s="5">
        <f t="shared" si="72"/>
        <v>6033</v>
      </c>
      <c r="D6038" s="11" t="s">
        <v>63</v>
      </c>
    </row>
    <row r="6039" spans="1:4" x14ac:dyDescent="0.2">
      <c r="A6039">
        <v>6034</v>
      </c>
      <c r="B6039" s="14">
        <f>'BudgetSum 2-4'!J79</f>
        <v>0</v>
      </c>
      <c r="C6039" s="5">
        <f t="shared" si="72"/>
        <v>6034</v>
      </c>
      <c r="D6039" s="11" t="s">
        <v>63</v>
      </c>
    </row>
    <row r="6040" spans="1:4" x14ac:dyDescent="0.2">
      <c r="A6040">
        <v>6035</v>
      </c>
      <c r="B6040" s="14">
        <f>'BudgetSum 2-4'!J80</f>
        <v>0</v>
      </c>
      <c r="C6040" s="5">
        <f t="shared" si="72"/>
        <v>6035</v>
      </c>
      <c r="D6040" s="11" t="s">
        <v>63</v>
      </c>
    </row>
    <row r="6041" spans="1:4" x14ac:dyDescent="0.2">
      <c r="A6041">
        <v>6036</v>
      </c>
      <c r="B6041" s="14">
        <f>'BudgetSum 2-4'!J81</f>
        <v>840</v>
      </c>
      <c r="C6041" s="5">
        <f t="shared" si="72"/>
        <v>5196</v>
      </c>
      <c r="D6041" s="11" t="s">
        <v>63</v>
      </c>
    </row>
    <row r="6042" spans="1:4" x14ac:dyDescent="0.2">
      <c r="A6042">
        <v>6037</v>
      </c>
      <c r="B6042" s="15">
        <f>'CashSum 5'!J3</f>
        <v>197399</v>
      </c>
      <c r="C6042" s="5">
        <f t="shared" si="72"/>
        <v>-191362</v>
      </c>
      <c r="D6042" s="11" t="s">
        <v>63</v>
      </c>
    </row>
    <row r="6043" spans="1:4" x14ac:dyDescent="0.2">
      <c r="A6043">
        <v>6038</v>
      </c>
      <c r="B6043" s="15">
        <f>'CashSum 5'!J4</f>
        <v>360000</v>
      </c>
      <c r="C6043" s="5">
        <f t="shared" si="72"/>
        <v>-353962</v>
      </c>
      <c r="D6043" s="11" t="s">
        <v>63</v>
      </c>
    </row>
    <row r="6044" spans="1:4" x14ac:dyDescent="0.2">
      <c r="A6044">
        <v>6039</v>
      </c>
      <c r="B6044" s="15">
        <f>'CashSum 5'!D6</f>
        <v>0</v>
      </c>
      <c r="C6044" s="5">
        <f t="shared" si="72"/>
        <v>6039</v>
      </c>
      <c r="D6044" s="11" t="s">
        <v>63</v>
      </c>
    </row>
    <row r="6045" spans="1:4" x14ac:dyDescent="0.2">
      <c r="A6045">
        <v>6040</v>
      </c>
      <c r="B6045" s="15">
        <f>'CashSum 5'!F6</f>
        <v>0</v>
      </c>
      <c r="C6045" s="5">
        <f t="shared" si="72"/>
        <v>6040</v>
      </c>
      <c r="D6045" s="11" t="s">
        <v>63</v>
      </c>
    </row>
    <row r="6046" spans="1:4" x14ac:dyDescent="0.2">
      <c r="A6046">
        <v>6041</v>
      </c>
      <c r="B6046" s="15">
        <f>'CashSum 5'!J6</f>
        <v>0</v>
      </c>
      <c r="C6046" s="5">
        <f t="shared" si="72"/>
        <v>6041</v>
      </c>
      <c r="D6046" s="11" t="s">
        <v>63</v>
      </c>
    </row>
    <row r="6047" spans="1:4" x14ac:dyDescent="0.2">
      <c r="A6047">
        <v>6042</v>
      </c>
      <c r="B6047" s="15">
        <f>'CashSum 5'!E8</f>
        <v>0</v>
      </c>
      <c r="C6047" s="5">
        <f t="shared" si="72"/>
        <v>6042</v>
      </c>
      <c r="D6047" s="11" t="s">
        <v>63</v>
      </c>
    </row>
    <row r="6048" spans="1:4" x14ac:dyDescent="0.2">
      <c r="A6048">
        <v>6043</v>
      </c>
      <c r="B6048" s="15">
        <f>'CashSum 5'!F8</f>
        <v>0</v>
      </c>
      <c r="C6048" s="5">
        <f t="shared" si="72"/>
        <v>6043</v>
      </c>
      <c r="D6048" s="11" t="s">
        <v>63</v>
      </c>
    </row>
    <row r="6049" spans="1:4" x14ac:dyDescent="0.2">
      <c r="A6049">
        <v>6044</v>
      </c>
      <c r="B6049" s="15">
        <f>'CashSum 5'!G8</f>
        <v>0</v>
      </c>
      <c r="C6049" s="5">
        <f t="shared" si="72"/>
        <v>6044</v>
      </c>
      <c r="D6049" s="11" t="s">
        <v>63</v>
      </c>
    </row>
    <row r="6050" spans="1:4" x14ac:dyDescent="0.2">
      <c r="A6050">
        <v>6045</v>
      </c>
      <c r="B6050" s="15">
        <f>'CashSum 5'!J8</f>
        <v>0</v>
      </c>
      <c r="C6050" s="5">
        <f t="shared" si="72"/>
        <v>6045</v>
      </c>
      <c r="D6050" s="11" t="s">
        <v>63</v>
      </c>
    </row>
    <row r="6051" spans="1:4" x14ac:dyDescent="0.2">
      <c r="A6051">
        <v>6046</v>
      </c>
      <c r="B6051" s="15">
        <f>'CashSum 5'!E9</f>
        <v>0</v>
      </c>
      <c r="C6051" s="5">
        <f t="shared" si="72"/>
        <v>6046</v>
      </c>
      <c r="D6051" s="11" t="s">
        <v>63</v>
      </c>
    </row>
    <row r="6052" spans="1:4" x14ac:dyDescent="0.2">
      <c r="A6052">
        <v>6047</v>
      </c>
      <c r="B6052" s="15">
        <f>'CashSum 5'!F9</f>
        <v>0</v>
      </c>
      <c r="C6052" s="5">
        <f t="shared" si="72"/>
        <v>6047</v>
      </c>
      <c r="D6052" s="11" t="s">
        <v>63</v>
      </c>
    </row>
    <row r="6053" spans="1:4" x14ac:dyDescent="0.2">
      <c r="A6053">
        <v>6048</v>
      </c>
      <c r="B6053" s="15">
        <f>'CashSum 5'!G9</f>
        <v>0</v>
      </c>
      <c r="C6053" s="5">
        <f t="shared" si="72"/>
        <v>6048</v>
      </c>
      <c r="D6053" s="11" t="s">
        <v>63</v>
      </c>
    </row>
    <row r="6054" spans="1:4" x14ac:dyDescent="0.2">
      <c r="A6054">
        <v>6049</v>
      </c>
      <c r="B6054" s="15">
        <f>'CashSum 5'!J10</f>
        <v>0</v>
      </c>
      <c r="C6054" s="5">
        <f t="shared" si="72"/>
        <v>6049</v>
      </c>
      <c r="D6054" s="11" t="s">
        <v>63</v>
      </c>
    </row>
    <row r="6055" spans="1:4" x14ac:dyDescent="0.2">
      <c r="A6055">
        <v>6050</v>
      </c>
      <c r="B6055" s="15">
        <f>'CashSum 5'!J11</f>
        <v>360000</v>
      </c>
      <c r="C6055" s="5">
        <f t="shared" si="72"/>
        <v>-353950</v>
      </c>
      <c r="D6055" s="11" t="s">
        <v>63</v>
      </c>
    </row>
    <row r="6056" spans="1:4" x14ac:dyDescent="0.2">
      <c r="A6056">
        <v>6051</v>
      </c>
      <c r="B6056" s="15">
        <f>'CashSum 5'!J12</f>
        <v>557399</v>
      </c>
      <c r="C6056" s="5">
        <f t="shared" si="72"/>
        <v>-551348</v>
      </c>
      <c r="D6056" s="11" t="s">
        <v>63</v>
      </c>
    </row>
    <row r="6057" spans="1:4" x14ac:dyDescent="0.2">
      <c r="A6057">
        <v>6052</v>
      </c>
      <c r="B6057" s="15">
        <f>'CashSum 5'!J13</f>
        <v>360000</v>
      </c>
      <c r="C6057" s="5">
        <f t="shared" si="72"/>
        <v>-353948</v>
      </c>
      <c r="D6057" s="11" t="s">
        <v>63</v>
      </c>
    </row>
    <row r="6058" spans="1:4" x14ac:dyDescent="0.2">
      <c r="A6058">
        <v>6053</v>
      </c>
      <c r="B6058" s="15">
        <f>'CashSum 5'!J16</f>
        <v>0</v>
      </c>
      <c r="C6058" s="5">
        <f t="shared" si="72"/>
        <v>6053</v>
      </c>
      <c r="D6058" s="11" t="s">
        <v>63</v>
      </c>
    </row>
    <row r="6059" spans="1:4" x14ac:dyDescent="0.2">
      <c r="A6059">
        <v>6054</v>
      </c>
      <c r="B6059" s="15">
        <f>'CashSum 5'!J17</f>
        <v>0</v>
      </c>
      <c r="C6059" s="5">
        <f t="shared" si="72"/>
        <v>6054</v>
      </c>
      <c r="D6059" s="11" t="s">
        <v>63</v>
      </c>
    </row>
    <row r="6060" spans="1:4" x14ac:dyDescent="0.2">
      <c r="A6060">
        <v>6055</v>
      </c>
      <c r="B6060" s="15">
        <f>'CashSum 5'!J19</f>
        <v>0</v>
      </c>
      <c r="C6060" s="5">
        <f t="shared" si="72"/>
        <v>6055</v>
      </c>
      <c r="D6060" s="11" t="s">
        <v>63</v>
      </c>
    </row>
    <row r="6061" spans="1:4" x14ac:dyDescent="0.2">
      <c r="A6061">
        <v>6056</v>
      </c>
      <c r="B6061" s="15">
        <f>'CashSum 5'!J20</f>
        <v>360000</v>
      </c>
      <c r="C6061" s="5">
        <f t="shared" si="72"/>
        <v>-353944</v>
      </c>
      <c r="D6061" s="11" t="s">
        <v>63</v>
      </c>
    </row>
    <row r="6062" spans="1:4" x14ac:dyDescent="0.2">
      <c r="A6062">
        <v>6057</v>
      </c>
      <c r="B6062" s="15">
        <f>'CashSum 5'!J21</f>
        <v>197399</v>
      </c>
      <c r="C6062" s="5">
        <f t="shared" si="72"/>
        <v>-191342</v>
      </c>
      <c r="D6062" s="11" t="s">
        <v>63</v>
      </c>
    </row>
    <row r="6063" spans="1:4" x14ac:dyDescent="0.2">
      <c r="A6063">
        <v>6058</v>
      </c>
      <c r="B6063" s="14">
        <f>'EstRev 6-11'!K5</f>
        <v>360000</v>
      </c>
      <c r="C6063" s="5">
        <f t="shared" si="72"/>
        <v>-353942</v>
      </c>
      <c r="D6063" s="11" t="s">
        <v>63</v>
      </c>
    </row>
    <row r="6064" spans="1:4" x14ac:dyDescent="0.2">
      <c r="A6064">
        <v>6059</v>
      </c>
      <c r="B6064" s="14">
        <f>'EstRev 6-11'!I7</f>
        <v>0</v>
      </c>
      <c r="C6064" s="5">
        <f t="shared" si="72"/>
        <v>6059</v>
      </c>
      <c r="D6064" s="11" t="s">
        <v>63</v>
      </c>
    </row>
    <row r="6065" spans="1:4" x14ac:dyDescent="0.2">
      <c r="A6065">
        <v>6060</v>
      </c>
      <c r="B6065" s="14">
        <f>'EstRev 6-11'!I9</f>
        <v>0</v>
      </c>
      <c r="C6065" s="5">
        <f t="shared" si="72"/>
        <v>6060</v>
      </c>
      <c r="D6065" s="11" t="s">
        <v>63</v>
      </c>
    </row>
    <row r="6066" spans="1:4" x14ac:dyDescent="0.2">
      <c r="A6066">
        <v>6061</v>
      </c>
      <c r="B6066" s="14">
        <f>'EstRev 6-11'!K11</f>
        <v>0</v>
      </c>
      <c r="C6066" s="5">
        <f t="shared" si="72"/>
        <v>6061</v>
      </c>
      <c r="D6066" s="11" t="s">
        <v>63</v>
      </c>
    </row>
    <row r="6067" spans="1:4" x14ac:dyDescent="0.2">
      <c r="A6067">
        <v>6062</v>
      </c>
      <c r="B6067" s="14">
        <f>'EstRev 6-11'!K12</f>
        <v>360000</v>
      </c>
      <c r="C6067" s="5">
        <f t="shared" si="72"/>
        <v>-353938</v>
      </c>
      <c r="D6067" s="11" t="s">
        <v>63</v>
      </c>
    </row>
    <row r="6068" spans="1:4" x14ac:dyDescent="0.2">
      <c r="A6068">
        <v>6063</v>
      </c>
      <c r="B6068" s="14">
        <f>'EstRev 6-11'!K14</f>
        <v>0</v>
      </c>
      <c r="C6068" s="5">
        <f t="shared" si="72"/>
        <v>6063</v>
      </c>
      <c r="D6068" s="11" t="s">
        <v>63</v>
      </c>
    </row>
    <row r="6069" spans="1:4" x14ac:dyDescent="0.2">
      <c r="A6069">
        <v>6064</v>
      </c>
      <c r="B6069" s="14">
        <f>'EstRev 6-11'!K15</f>
        <v>0</v>
      </c>
      <c r="C6069" s="5">
        <f t="shared" si="72"/>
        <v>6064</v>
      </c>
      <c r="D6069" s="11" t="s">
        <v>63</v>
      </c>
    </row>
    <row r="6070" spans="1:4" x14ac:dyDescent="0.2">
      <c r="A6070">
        <v>6065</v>
      </c>
      <c r="B6070" s="14">
        <f>'EstRev 6-11'!K16</f>
        <v>0</v>
      </c>
      <c r="C6070" s="5">
        <f t="shared" si="72"/>
        <v>6065</v>
      </c>
      <c r="D6070" s="11" t="s">
        <v>63</v>
      </c>
    </row>
    <row r="6071" spans="1:4" x14ac:dyDescent="0.2">
      <c r="A6071">
        <v>6066</v>
      </c>
      <c r="B6071" s="14">
        <f>'EstRev 6-11'!K17</f>
        <v>0</v>
      </c>
      <c r="C6071" s="5">
        <f t="shared" si="72"/>
        <v>6066</v>
      </c>
      <c r="D6071" s="11" t="s">
        <v>63</v>
      </c>
    </row>
    <row r="6072" spans="1:4" x14ac:dyDescent="0.2">
      <c r="A6072">
        <v>6067</v>
      </c>
      <c r="B6072" s="14">
        <f>'EstRev 6-11'!K18</f>
        <v>0</v>
      </c>
      <c r="C6072" s="5">
        <f t="shared" si="72"/>
        <v>6067</v>
      </c>
      <c r="D6072" s="11" t="s">
        <v>63</v>
      </c>
    </row>
    <row r="6073" spans="1:4" x14ac:dyDescent="0.2">
      <c r="A6073">
        <v>6068</v>
      </c>
      <c r="B6073" s="14">
        <f>'EstRev 6-11'!D23</f>
        <v>0</v>
      </c>
      <c r="C6073" s="5">
        <f t="shared" si="72"/>
        <v>6068</v>
      </c>
      <c r="D6073" s="11" t="s">
        <v>63</v>
      </c>
    </row>
    <row r="6074" spans="1:4" x14ac:dyDescent="0.2">
      <c r="A6074">
        <v>6069</v>
      </c>
      <c r="B6074" s="14">
        <f>'EstRev 6-11'!D27</f>
        <v>0</v>
      </c>
      <c r="C6074" s="5">
        <f t="shared" si="72"/>
        <v>6069</v>
      </c>
      <c r="D6074" s="11" t="s">
        <v>63</v>
      </c>
    </row>
    <row r="6075" spans="1:4" x14ac:dyDescent="0.2">
      <c r="A6075">
        <v>6070</v>
      </c>
      <c r="B6075" s="14">
        <f>'EstRev 6-11'!D31</f>
        <v>0</v>
      </c>
      <c r="C6075" s="5">
        <f t="shared" si="72"/>
        <v>6070</v>
      </c>
      <c r="D6075" s="11" t="s">
        <v>63</v>
      </c>
    </row>
    <row r="6076" spans="1:4" x14ac:dyDescent="0.2">
      <c r="A6076">
        <v>6071</v>
      </c>
      <c r="B6076" s="14">
        <f>'EstRev 6-11'!D35</f>
        <v>0</v>
      </c>
      <c r="C6076" s="5">
        <f t="shared" si="72"/>
        <v>6071</v>
      </c>
      <c r="D6076" s="11" t="s">
        <v>63</v>
      </c>
    </row>
    <row r="6077" spans="1:4" x14ac:dyDescent="0.2">
      <c r="A6077">
        <v>6072</v>
      </c>
      <c r="B6077" s="14">
        <f>'EstRev 6-11'!D39</f>
        <v>0</v>
      </c>
      <c r="C6077" s="5">
        <f t="shared" si="72"/>
        <v>6072</v>
      </c>
      <c r="D6077" s="11" t="s">
        <v>63</v>
      </c>
    </row>
    <row r="6078" spans="1:4" x14ac:dyDescent="0.2">
      <c r="A6078">
        <v>6073</v>
      </c>
      <c r="B6078" s="14">
        <f>'EstRev 6-11'!G46</f>
        <v>0</v>
      </c>
      <c r="C6078" s="5">
        <f t="shared" si="72"/>
        <v>6073</v>
      </c>
      <c r="D6078" s="11" t="s">
        <v>63</v>
      </c>
    </row>
    <row r="6079" spans="1:4" x14ac:dyDescent="0.2">
      <c r="A6079">
        <v>6074</v>
      </c>
      <c r="B6079" s="14">
        <f>'EstRev 6-11'!G50</f>
        <v>0</v>
      </c>
      <c r="C6079" s="5">
        <f t="shared" si="72"/>
        <v>6074</v>
      </c>
      <c r="D6079" s="11" t="s">
        <v>63</v>
      </c>
    </row>
    <row r="6080" spans="1:4" x14ac:dyDescent="0.2">
      <c r="A6080">
        <v>6075</v>
      </c>
      <c r="B6080" s="14">
        <f>'EstRev 6-11'!G54</f>
        <v>0</v>
      </c>
      <c r="C6080" s="5">
        <f t="shared" si="72"/>
        <v>6075</v>
      </c>
      <c r="D6080" s="11" t="s">
        <v>63</v>
      </c>
    </row>
    <row r="6081" spans="1:4" x14ac:dyDescent="0.2">
      <c r="A6081">
        <v>6076</v>
      </c>
      <c r="B6081" s="14">
        <f>'EstRev 6-11'!G58</f>
        <v>0</v>
      </c>
      <c r="C6081" s="5">
        <f t="shared" si="72"/>
        <v>6076</v>
      </c>
      <c r="D6081" s="11" t="s">
        <v>63</v>
      </c>
    </row>
    <row r="6082" spans="1:4" x14ac:dyDescent="0.2">
      <c r="A6082">
        <v>6077</v>
      </c>
      <c r="B6082" s="14">
        <f>'EstRev 6-11'!G62</f>
        <v>0</v>
      </c>
      <c r="C6082" s="5">
        <f t="shared" si="72"/>
        <v>6077</v>
      </c>
      <c r="D6082" s="11" t="s">
        <v>63</v>
      </c>
    </row>
    <row r="6083" spans="1:4" x14ac:dyDescent="0.2">
      <c r="A6083">
        <v>6078</v>
      </c>
      <c r="B6083" s="14">
        <f>'EstRev 6-11'!K65</f>
        <v>0</v>
      </c>
      <c r="C6083" s="5">
        <f t="shared" si="72"/>
        <v>6078</v>
      </c>
      <c r="D6083" s="11" t="s">
        <v>63</v>
      </c>
    </row>
    <row r="6084" spans="1:4" x14ac:dyDescent="0.2">
      <c r="A6084">
        <v>6079</v>
      </c>
      <c r="B6084" s="14">
        <f>'EstRev 6-11'!K66</f>
        <v>0</v>
      </c>
      <c r="C6084" s="5">
        <f t="shared" si="72"/>
        <v>6079</v>
      </c>
      <c r="D6084" s="11" t="s">
        <v>63</v>
      </c>
    </row>
    <row r="6085" spans="1:4" x14ac:dyDescent="0.2">
      <c r="A6085">
        <v>6080</v>
      </c>
      <c r="B6085" s="14">
        <f>'EstRev 6-11'!K67</f>
        <v>0</v>
      </c>
      <c r="C6085" s="5">
        <f t="shared" si="72"/>
        <v>6080</v>
      </c>
      <c r="D6085" s="11" t="s">
        <v>63</v>
      </c>
    </row>
    <row r="6086" spans="1:4" x14ac:dyDescent="0.2">
      <c r="A6086">
        <v>6081</v>
      </c>
      <c r="B6086" s="14">
        <f>'EstRev 6-11'!D99</f>
        <v>0</v>
      </c>
      <c r="C6086" s="5">
        <f t="shared" si="72"/>
        <v>6081</v>
      </c>
      <c r="D6086" s="11" t="s">
        <v>63</v>
      </c>
    </row>
    <row r="6087" spans="1:4" x14ac:dyDescent="0.2">
      <c r="A6087">
        <v>6082</v>
      </c>
      <c r="B6087" s="14">
        <f>'EstRev 6-11'!E99</f>
        <v>0</v>
      </c>
      <c r="C6087" s="5">
        <f t="shared" si="72"/>
        <v>6082</v>
      </c>
      <c r="D6087" s="11" t="s">
        <v>63</v>
      </c>
    </row>
    <row r="6088" spans="1:4" x14ac:dyDescent="0.2">
      <c r="A6088">
        <v>6083</v>
      </c>
      <c r="B6088" s="14">
        <f>'EstRev 6-11'!F99</f>
        <v>0</v>
      </c>
      <c r="C6088" s="5">
        <f t="shared" ref="C6088:C6151" si="73">A6088-B6088</f>
        <v>6083</v>
      </c>
      <c r="D6088" s="11" t="s">
        <v>63</v>
      </c>
    </row>
    <row r="6089" spans="1:4" x14ac:dyDescent="0.2">
      <c r="A6089">
        <v>6084</v>
      </c>
      <c r="B6089" s="14">
        <f>'EstRev 6-11'!G99</f>
        <v>0</v>
      </c>
      <c r="C6089" s="5">
        <f t="shared" si="73"/>
        <v>6084</v>
      </c>
      <c r="D6089" s="11" t="s">
        <v>63</v>
      </c>
    </row>
    <row r="6090" spans="1:4" x14ac:dyDescent="0.2">
      <c r="A6090">
        <v>6085</v>
      </c>
      <c r="B6090" s="14">
        <f>'EstRev 6-11'!H99</f>
        <v>0</v>
      </c>
      <c r="C6090" s="5">
        <f t="shared" si="73"/>
        <v>6085</v>
      </c>
      <c r="D6090" s="11" t="s">
        <v>63</v>
      </c>
    </row>
    <row r="6091" spans="1:4" x14ac:dyDescent="0.2">
      <c r="A6091">
        <v>6086</v>
      </c>
      <c r="B6091" s="14">
        <f>'EstRev 6-11'!I99</f>
        <v>0</v>
      </c>
      <c r="C6091" s="5">
        <f t="shared" si="73"/>
        <v>6086</v>
      </c>
      <c r="D6091" s="11" t="s">
        <v>63</v>
      </c>
    </row>
    <row r="6092" spans="1:4" x14ac:dyDescent="0.2">
      <c r="A6092">
        <v>6087</v>
      </c>
      <c r="B6092" s="14">
        <f>'EstRev 6-11'!J99</f>
        <v>0</v>
      </c>
      <c r="C6092" s="5">
        <f t="shared" si="73"/>
        <v>6087</v>
      </c>
      <c r="D6092" s="11" t="s">
        <v>63</v>
      </c>
    </row>
    <row r="6093" spans="1:4" x14ac:dyDescent="0.2">
      <c r="A6093">
        <v>6088</v>
      </c>
      <c r="B6093" s="14">
        <f>'EstRev 6-11'!K99</f>
        <v>0</v>
      </c>
      <c r="C6093" s="5">
        <f t="shared" si="73"/>
        <v>6088</v>
      </c>
      <c r="D6093" s="11" t="s">
        <v>63</v>
      </c>
    </row>
    <row r="6094" spans="1:4" x14ac:dyDescent="0.2">
      <c r="A6094">
        <v>6089</v>
      </c>
      <c r="B6094" s="14">
        <f>'EstRev 6-11'!L99</f>
        <v>0</v>
      </c>
      <c r="C6094" s="5">
        <f t="shared" si="73"/>
        <v>6089</v>
      </c>
      <c r="D6094" s="11" t="s">
        <v>63</v>
      </c>
    </row>
    <row r="6095" spans="1:4" x14ac:dyDescent="0.2">
      <c r="A6095">
        <v>6090</v>
      </c>
      <c r="B6095" s="14">
        <f>'EstRev 6-11'!K101</f>
        <v>0</v>
      </c>
      <c r="C6095" s="5">
        <f t="shared" si="73"/>
        <v>6090</v>
      </c>
      <c r="D6095" s="11" t="s">
        <v>63</v>
      </c>
    </row>
    <row r="6096" spans="1:4" x14ac:dyDescent="0.2">
      <c r="A6096">
        <v>6091</v>
      </c>
      <c r="B6096" s="14">
        <f>'EstRev 6-11'!D102</f>
        <v>0</v>
      </c>
      <c r="C6096" s="5">
        <f t="shared" si="73"/>
        <v>6091</v>
      </c>
      <c r="D6096" s="11" t="s">
        <v>63</v>
      </c>
    </row>
    <row r="6097" spans="1:4" x14ac:dyDescent="0.2">
      <c r="A6097">
        <v>6092</v>
      </c>
      <c r="B6097" s="14">
        <f>'EstRev 6-11'!E102</f>
        <v>0</v>
      </c>
      <c r="C6097" s="5">
        <f t="shared" si="73"/>
        <v>6092</v>
      </c>
      <c r="D6097" s="11" t="s">
        <v>63</v>
      </c>
    </row>
    <row r="6098" spans="1:4" x14ac:dyDescent="0.2">
      <c r="A6098">
        <v>6093</v>
      </c>
      <c r="B6098" s="14">
        <f>'EstRev 6-11'!F102</f>
        <v>0</v>
      </c>
      <c r="C6098" s="5">
        <f t="shared" si="73"/>
        <v>6093</v>
      </c>
      <c r="D6098" s="11" t="s">
        <v>63</v>
      </c>
    </row>
    <row r="6099" spans="1:4" x14ac:dyDescent="0.2">
      <c r="A6099">
        <v>6094</v>
      </c>
      <c r="B6099" s="14">
        <f>'EstRev 6-11'!G102</f>
        <v>0</v>
      </c>
      <c r="C6099" s="5">
        <f t="shared" si="73"/>
        <v>6094</v>
      </c>
      <c r="D6099" s="11" t="s">
        <v>63</v>
      </c>
    </row>
    <row r="6100" spans="1:4" x14ac:dyDescent="0.2">
      <c r="A6100">
        <v>6095</v>
      </c>
      <c r="B6100" s="14">
        <f>'EstRev 6-11'!H102</f>
        <v>0</v>
      </c>
      <c r="C6100" s="5">
        <f t="shared" si="73"/>
        <v>6095</v>
      </c>
      <c r="D6100" s="11" t="s">
        <v>63</v>
      </c>
    </row>
    <row r="6101" spans="1:4" x14ac:dyDescent="0.2">
      <c r="A6101">
        <v>6096</v>
      </c>
      <c r="B6101" s="14">
        <f>'EstRev 6-11'!I102</f>
        <v>0</v>
      </c>
      <c r="C6101" s="5">
        <f t="shared" si="73"/>
        <v>6096</v>
      </c>
      <c r="D6101" s="11" t="s">
        <v>63</v>
      </c>
    </row>
    <row r="6102" spans="1:4" x14ac:dyDescent="0.2">
      <c r="A6102">
        <v>6097</v>
      </c>
      <c r="B6102" s="14">
        <f>'EstRev 6-11'!J102</f>
        <v>0</v>
      </c>
      <c r="C6102" s="5">
        <f t="shared" si="73"/>
        <v>6097</v>
      </c>
      <c r="D6102" s="11" t="s">
        <v>63</v>
      </c>
    </row>
    <row r="6103" spans="1:4" x14ac:dyDescent="0.2">
      <c r="A6103">
        <v>6098</v>
      </c>
      <c r="B6103" s="14">
        <f>'EstRev 6-11'!K102</f>
        <v>0</v>
      </c>
      <c r="C6103" s="5">
        <f t="shared" si="73"/>
        <v>6098</v>
      </c>
      <c r="D6103" s="11" t="s">
        <v>63</v>
      </c>
    </row>
    <row r="6104" spans="1:4" x14ac:dyDescent="0.2">
      <c r="A6104">
        <v>6099</v>
      </c>
      <c r="B6104" s="14">
        <f>'EstRev 6-11'!L102</f>
        <v>0</v>
      </c>
      <c r="C6104" s="5">
        <f t="shared" si="73"/>
        <v>6099</v>
      </c>
      <c r="D6104" s="11" t="s">
        <v>63</v>
      </c>
    </row>
    <row r="6105" spans="1:4" x14ac:dyDescent="0.2">
      <c r="A6105">
        <v>6100</v>
      </c>
      <c r="B6105" s="14">
        <f>'EstRev 6-11'!D103</f>
        <v>0</v>
      </c>
      <c r="C6105" s="5">
        <f t="shared" si="73"/>
        <v>6100</v>
      </c>
      <c r="D6105" s="11" t="s">
        <v>63</v>
      </c>
    </row>
    <row r="6106" spans="1:4" x14ac:dyDescent="0.2">
      <c r="A6106">
        <v>6101</v>
      </c>
      <c r="B6106" s="14">
        <f>'EstRev 6-11'!D104</f>
        <v>0</v>
      </c>
      <c r="C6106" s="5">
        <f t="shared" si="73"/>
        <v>6101</v>
      </c>
      <c r="D6106" s="11" t="s">
        <v>63</v>
      </c>
    </row>
    <row r="6107" spans="1:4" x14ac:dyDescent="0.2">
      <c r="A6107">
        <v>6102</v>
      </c>
      <c r="B6107" s="14">
        <f>'EstRev 6-11'!E104</f>
        <v>0</v>
      </c>
      <c r="C6107" s="5">
        <f t="shared" si="73"/>
        <v>6102</v>
      </c>
      <c r="D6107" s="11" t="s">
        <v>63</v>
      </c>
    </row>
    <row r="6108" spans="1:4" x14ac:dyDescent="0.2">
      <c r="A6108">
        <v>6103</v>
      </c>
      <c r="B6108" s="14">
        <f>'EstRev 6-11'!F104</f>
        <v>0</v>
      </c>
      <c r="C6108" s="5">
        <f t="shared" si="73"/>
        <v>6103</v>
      </c>
      <c r="D6108" s="11" t="s">
        <v>63</v>
      </c>
    </row>
    <row r="6109" spans="1:4" x14ac:dyDescent="0.2">
      <c r="A6109">
        <v>6104</v>
      </c>
      <c r="B6109" s="14">
        <f>'EstRev 6-11'!G104</f>
        <v>0</v>
      </c>
      <c r="C6109" s="5">
        <f t="shared" si="73"/>
        <v>6104</v>
      </c>
      <c r="D6109" s="11" t="s">
        <v>63</v>
      </c>
    </row>
    <row r="6110" spans="1:4" x14ac:dyDescent="0.2">
      <c r="A6110">
        <v>6105</v>
      </c>
      <c r="B6110" s="14">
        <f>'EstRev 6-11'!H104</f>
        <v>0</v>
      </c>
      <c r="C6110" s="5">
        <f t="shared" si="73"/>
        <v>6105</v>
      </c>
      <c r="D6110" s="11" t="s">
        <v>63</v>
      </c>
    </row>
    <row r="6111" spans="1:4" x14ac:dyDescent="0.2">
      <c r="A6111">
        <v>6106</v>
      </c>
      <c r="B6111" s="14">
        <f>'EstRev 6-11'!I104</f>
        <v>0</v>
      </c>
      <c r="C6111" s="5">
        <f t="shared" si="73"/>
        <v>6106</v>
      </c>
      <c r="D6111" s="11" t="s">
        <v>63</v>
      </c>
    </row>
    <row r="6112" spans="1:4" x14ac:dyDescent="0.2">
      <c r="A6112">
        <v>6107</v>
      </c>
      <c r="B6112" s="14">
        <f>'EstRev 6-11'!J104</f>
        <v>0</v>
      </c>
      <c r="C6112" s="5">
        <f t="shared" si="73"/>
        <v>6107</v>
      </c>
      <c r="D6112" s="11" t="s">
        <v>63</v>
      </c>
    </row>
    <row r="6113" spans="1:4" x14ac:dyDescent="0.2">
      <c r="A6113">
        <v>6108</v>
      </c>
      <c r="B6113" s="14">
        <f>'EstRev 6-11'!K104</f>
        <v>0</v>
      </c>
      <c r="C6113" s="5">
        <f t="shared" si="73"/>
        <v>6108</v>
      </c>
      <c r="D6113" s="11" t="s">
        <v>63</v>
      </c>
    </row>
    <row r="6114" spans="1:4" x14ac:dyDescent="0.2">
      <c r="A6114">
        <v>6109</v>
      </c>
      <c r="B6114" s="14">
        <f>'EstRev 6-11'!L104</f>
        <v>0</v>
      </c>
      <c r="C6114" s="5">
        <f t="shared" si="73"/>
        <v>6109</v>
      </c>
      <c r="D6114" s="11" t="s">
        <v>63</v>
      </c>
    </row>
    <row r="6115" spans="1:4" x14ac:dyDescent="0.2">
      <c r="A6115">
        <v>6110</v>
      </c>
      <c r="B6115" s="14">
        <f>'EstRev 6-11'!H106</f>
        <v>0</v>
      </c>
      <c r="C6115" s="5">
        <f t="shared" si="73"/>
        <v>6110</v>
      </c>
      <c r="D6115" s="11" t="s">
        <v>63</v>
      </c>
    </row>
    <row r="6116" spans="1:4" x14ac:dyDescent="0.2">
      <c r="A6116">
        <v>6111</v>
      </c>
      <c r="B6116" s="14">
        <f>'EstRev 6-11'!E108</f>
        <v>0</v>
      </c>
      <c r="C6116" s="5">
        <f t="shared" si="73"/>
        <v>6111</v>
      </c>
      <c r="D6116" s="11" t="s">
        <v>63</v>
      </c>
    </row>
    <row r="6117" spans="1:4" x14ac:dyDescent="0.2">
      <c r="A6117">
        <v>6112</v>
      </c>
      <c r="B6117" s="14">
        <f>'EstRev 6-11'!F108</f>
        <v>0</v>
      </c>
      <c r="C6117" s="5">
        <f t="shared" si="73"/>
        <v>6112</v>
      </c>
      <c r="D6117" s="11" t="s">
        <v>63</v>
      </c>
    </row>
    <row r="6118" spans="1:4" x14ac:dyDescent="0.2">
      <c r="A6118">
        <v>6113</v>
      </c>
      <c r="B6118" s="14">
        <f>'EstRev 6-11'!G108</f>
        <v>0</v>
      </c>
      <c r="C6118" s="5">
        <f t="shared" si="73"/>
        <v>6113</v>
      </c>
      <c r="D6118" s="11" t="s">
        <v>63</v>
      </c>
    </row>
    <row r="6119" spans="1:4" x14ac:dyDescent="0.2">
      <c r="A6119">
        <v>6114</v>
      </c>
      <c r="B6119" s="14">
        <f>'EstRev 6-11'!H108</f>
        <v>0</v>
      </c>
      <c r="C6119" s="5">
        <f t="shared" si="73"/>
        <v>6114</v>
      </c>
      <c r="D6119" s="11" t="s">
        <v>63</v>
      </c>
    </row>
    <row r="6120" spans="1:4" x14ac:dyDescent="0.2">
      <c r="A6120">
        <v>6115</v>
      </c>
      <c r="B6120" s="14">
        <f>'EstRev 6-11'!I108</f>
        <v>0</v>
      </c>
      <c r="C6120" s="5">
        <f t="shared" si="73"/>
        <v>6115</v>
      </c>
      <c r="D6120" s="11" t="s">
        <v>63</v>
      </c>
    </row>
    <row r="6121" spans="1:4" x14ac:dyDescent="0.2">
      <c r="A6121">
        <v>6116</v>
      </c>
      <c r="B6121" s="14">
        <f>'EstRev 6-11'!K108</f>
        <v>0</v>
      </c>
      <c r="C6121" s="5">
        <f t="shared" si="73"/>
        <v>6116</v>
      </c>
      <c r="D6121" s="11" t="s">
        <v>63</v>
      </c>
    </row>
    <row r="6122" spans="1:4" x14ac:dyDescent="0.2">
      <c r="A6122">
        <v>6117</v>
      </c>
      <c r="B6122" s="14">
        <f>'EstRev 6-11'!L108</f>
        <v>0</v>
      </c>
      <c r="C6122" s="5">
        <f t="shared" si="73"/>
        <v>6117</v>
      </c>
      <c r="D6122" s="11" t="s">
        <v>63</v>
      </c>
    </row>
    <row r="6123" spans="1:4" x14ac:dyDescent="0.2">
      <c r="A6123">
        <v>6118</v>
      </c>
      <c r="B6123" s="14">
        <f>'EstRev 6-11'!K98</f>
        <v>0</v>
      </c>
      <c r="C6123" s="5">
        <f t="shared" si="73"/>
        <v>6118</v>
      </c>
      <c r="D6123" s="11" t="s">
        <v>63</v>
      </c>
    </row>
    <row r="6124" spans="1:4" x14ac:dyDescent="0.2">
      <c r="A6124">
        <v>6119</v>
      </c>
      <c r="B6124" s="14">
        <f>'EstRev 6-11'!K109</f>
        <v>0</v>
      </c>
      <c r="C6124" s="5">
        <f t="shared" si="73"/>
        <v>6119</v>
      </c>
      <c r="D6124" s="11" t="s">
        <v>63</v>
      </c>
    </row>
    <row r="6125" spans="1:4" x14ac:dyDescent="0.2">
      <c r="A6125">
        <v>6120</v>
      </c>
      <c r="B6125" s="14">
        <f>'EstRev 6-11'!K111</f>
        <v>360000</v>
      </c>
      <c r="C6125" s="5">
        <f t="shared" si="73"/>
        <v>-353880</v>
      </c>
      <c r="D6125" s="11" t="s">
        <v>63</v>
      </c>
    </row>
    <row r="6126" spans="1:4" x14ac:dyDescent="0.2">
      <c r="A6126">
        <v>6121</v>
      </c>
      <c r="B6126" s="14">
        <f>'EstRev 6-11'!K120</f>
        <v>0</v>
      </c>
      <c r="C6126" s="5">
        <f t="shared" si="73"/>
        <v>6121</v>
      </c>
      <c r="D6126" s="11" t="s">
        <v>63</v>
      </c>
    </row>
    <row r="6127" spans="1:4" x14ac:dyDescent="0.2">
      <c r="A6127" s="3">
        <v>6122</v>
      </c>
      <c r="D6127" s="11" t="s">
        <v>655</v>
      </c>
    </row>
    <row r="6128" spans="1:4" x14ac:dyDescent="0.2">
      <c r="A6128">
        <v>6123</v>
      </c>
      <c r="B6128" s="14">
        <f>'EstRev 6-11'!K121</f>
        <v>0</v>
      </c>
      <c r="C6128" s="5">
        <f t="shared" si="73"/>
        <v>6123</v>
      </c>
      <c r="D6128" s="11" t="s">
        <v>63</v>
      </c>
    </row>
    <row r="6129" spans="1:4" x14ac:dyDescent="0.2">
      <c r="A6129">
        <v>6124</v>
      </c>
      <c r="B6129" s="14">
        <f>'EstRev 6-11'!K123</f>
        <v>0</v>
      </c>
      <c r="C6129" s="5">
        <f t="shared" si="73"/>
        <v>6124</v>
      </c>
      <c r="D6129" s="11" t="s">
        <v>63</v>
      </c>
    </row>
    <row r="6130" spans="1:4" x14ac:dyDescent="0.2">
      <c r="A6130">
        <v>6125</v>
      </c>
      <c r="B6130" s="14">
        <f>'EstRev 6-11'!K124</f>
        <v>0</v>
      </c>
      <c r="C6130" s="5">
        <f t="shared" si="73"/>
        <v>6125</v>
      </c>
      <c r="D6130" s="11" t="s">
        <v>63</v>
      </c>
    </row>
    <row r="6131" spans="1:4" x14ac:dyDescent="0.2">
      <c r="A6131">
        <v>6126</v>
      </c>
      <c r="B6131" s="14">
        <f>'EstRev 6-11'!D139</f>
        <v>0</v>
      </c>
      <c r="C6131" s="5">
        <f t="shared" si="73"/>
        <v>6126</v>
      </c>
      <c r="D6131" s="11" t="s">
        <v>63</v>
      </c>
    </row>
    <row r="6132" spans="1:4" x14ac:dyDescent="0.2">
      <c r="A6132">
        <v>6127</v>
      </c>
      <c r="B6132" s="14">
        <f>'EstRev 6-11'!E139</f>
        <v>0</v>
      </c>
      <c r="C6132" s="5">
        <f t="shared" si="73"/>
        <v>6127</v>
      </c>
      <c r="D6132" s="11" t="s">
        <v>63</v>
      </c>
    </row>
    <row r="6133" spans="1:4" x14ac:dyDescent="0.2">
      <c r="A6133">
        <v>6128</v>
      </c>
      <c r="B6133" s="14">
        <f>'EstRev 6-11'!H137</f>
        <v>0</v>
      </c>
      <c r="C6133" s="5">
        <f t="shared" si="73"/>
        <v>6128</v>
      </c>
      <c r="D6133" s="11" t="s">
        <v>63</v>
      </c>
    </row>
    <row r="6134" spans="1:4" x14ac:dyDescent="0.2">
      <c r="A6134">
        <v>6129</v>
      </c>
      <c r="B6134" s="14">
        <f>'EstRev 6-11'!H139</f>
        <v>0</v>
      </c>
      <c r="C6134" s="5">
        <f t="shared" si="73"/>
        <v>6129</v>
      </c>
      <c r="D6134" s="11" t="s">
        <v>63</v>
      </c>
    </row>
    <row r="6135" spans="1:4" x14ac:dyDescent="0.2">
      <c r="A6135">
        <v>6130</v>
      </c>
      <c r="B6135" s="14">
        <f>'EstRev 6-11'!D140</f>
        <v>0</v>
      </c>
      <c r="C6135" s="5">
        <f t="shared" si="73"/>
        <v>6130</v>
      </c>
      <c r="D6135" s="11" t="s">
        <v>63</v>
      </c>
    </row>
    <row r="6136" spans="1:4" x14ac:dyDescent="0.2">
      <c r="A6136">
        <v>6131</v>
      </c>
      <c r="B6136" s="14">
        <f>'EstRev 6-11'!E140</f>
        <v>0</v>
      </c>
      <c r="C6136" s="5">
        <f t="shared" si="73"/>
        <v>6131</v>
      </c>
      <c r="D6136" s="11" t="s">
        <v>63</v>
      </c>
    </row>
    <row r="6137" spans="1:4" x14ac:dyDescent="0.2">
      <c r="A6137">
        <v>6132</v>
      </c>
      <c r="B6137" s="14">
        <f>'EstRev 6-11'!H140</f>
        <v>0</v>
      </c>
      <c r="C6137" s="5">
        <f t="shared" si="73"/>
        <v>6132</v>
      </c>
      <c r="D6137" s="11" t="s">
        <v>63</v>
      </c>
    </row>
    <row r="6138" spans="1:4" x14ac:dyDescent="0.2">
      <c r="A6138">
        <v>6133</v>
      </c>
      <c r="B6138" s="14">
        <f>'EstRev 6-11'!D141</f>
        <v>0</v>
      </c>
      <c r="C6138" s="5">
        <f t="shared" si="73"/>
        <v>6133</v>
      </c>
      <c r="D6138" s="11" t="s">
        <v>63</v>
      </c>
    </row>
    <row r="6139" spans="1:4" x14ac:dyDescent="0.2">
      <c r="A6139">
        <v>6134</v>
      </c>
      <c r="B6139" s="14">
        <f>'EstRev 6-11'!E141</f>
        <v>0</v>
      </c>
      <c r="C6139" s="5">
        <f t="shared" si="73"/>
        <v>6134</v>
      </c>
      <c r="D6139" s="11" t="s">
        <v>63</v>
      </c>
    </row>
    <row r="6140" spans="1:4" x14ac:dyDescent="0.2">
      <c r="A6140">
        <v>6135</v>
      </c>
      <c r="B6140" s="14">
        <f>'EstRev 6-11'!H141</f>
        <v>0</v>
      </c>
      <c r="C6140" s="5">
        <f t="shared" si="73"/>
        <v>6135</v>
      </c>
      <c r="D6140" s="11" t="s">
        <v>63</v>
      </c>
    </row>
    <row r="6141" spans="1:4" x14ac:dyDescent="0.2">
      <c r="A6141">
        <v>6136</v>
      </c>
      <c r="B6141" s="14">
        <f>'EstRev 6-11'!F151</f>
        <v>0</v>
      </c>
      <c r="C6141" s="5">
        <f t="shared" si="73"/>
        <v>6136</v>
      </c>
      <c r="D6141" s="11" t="s">
        <v>63</v>
      </c>
    </row>
    <row r="6142" spans="1:4" x14ac:dyDescent="0.2">
      <c r="A6142">
        <v>6137</v>
      </c>
      <c r="B6142" s="14">
        <f>'EstRev 6-11'!G151</f>
        <v>0</v>
      </c>
      <c r="C6142" s="5">
        <f t="shared" si="73"/>
        <v>6137</v>
      </c>
      <c r="D6142" s="11" t="s">
        <v>63</v>
      </c>
    </row>
    <row r="6143" spans="1:4" x14ac:dyDescent="0.2">
      <c r="A6143">
        <v>6138</v>
      </c>
      <c r="B6143" s="14">
        <f>'EstRev 6-11'!H151</f>
        <v>0</v>
      </c>
      <c r="C6143" s="5">
        <f t="shared" si="73"/>
        <v>6138</v>
      </c>
      <c r="D6143" s="11" t="s">
        <v>63</v>
      </c>
    </row>
    <row r="6144" spans="1:4" x14ac:dyDescent="0.2">
      <c r="A6144">
        <v>6139</v>
      </c>
      <c r="B6144" s="14">
        <f>'EstRev 6-11'!I151</f>
        <v>0</v>
      </c>
      <c r="C6144" s="5">
        <f t="shared" si="73"/>
        <v>6139</v>
      </c>
      <c r="D6144" s="11" t="s">
        <v>63</v>
      </c>
    </row>
    <row r="6145" spans="1:4" x14ac:dyDescent="0.2">
      <c r="A6145">
        <v>6140</v>
      </c>
      <c r="B6145" s="14">
        <f>'EstRev 6-11'!J151</f>
        <v>0</v>
      </c>
      <c r="C6145" s="5">
        <f t="shared" si="73"/>
        <v>6140</v>
      </c>
      <c r="D6145" s="11" t="s">
        <v>63</v>
      </c>
    </row>
    <row r="6146" spans="1:4" x14ac:dyDescent="0.2">
      <c r="A6146">
        <v>6141</v>
      </c>
      <c r="B6146" s="14">
        <f>'EstRev 6-11'!K151</f>
        <v>0</v>
      </c>
      <c r="C6146" s="5">
        <f t="shared" si="73"/>
        <v>6141</v>
      </c>
      <c r="D6146" s="11" t="s">
        <v>63</v>
      </c>
    </row>
    <row r="6147" spans="1:4" x14ac:dyDescent="0.2">
      <c r="A6147">
        <v>6142</v>
      </c>
      <c r="B6147" s="14">
        <f>'EstRev 6-11'!L151</f>
        <v>0</v>
      </c>
      <c r="C6147" s="5">
        <f t="shared" si="73"/>
        <v>6142</v>
      </c>
      <c r="D6147" s="11" t="s">
        <v>63</v>
      </c>
    </row>
    <row r="6148" spans="1:4" x14ac:dyDescent="0.2">
      <c r="A6148">
        <v>6143</v>
      </c>
      <c r="B6148" s="14">
        <f>'EstRev 6-11'!F152</f>
        <v>0</v>
      </c>
      <c r="C6148" s="5">
        <f t="shared" si="73"/>
        <v>6143</v>
      </c>
      <c r="D6148" s="11" t="s">
        <v>63</v>
      </c>
    </row>
    <row r="6149" spans="1:4" x14ac:dyDescent="0.2">
      <c r="A6149">
        <v>6144</v>
      </c>
      <c r="B6149" s="14">
        <f>'EstRev 6-11'!I152</f>
        <v>0</v>
      </c>
      <c r="C6149" s="5">
        <f t="shared" si="73"/>
        <v>6144</v>
      </c>
      <c r="D6149" s="11" t="s">
        <v>63</v>
      </c>
    </row>
    <row r="6150" spans="1:4" x14ac:dyDescent="0.2">
      <c r="A6150">
        <v>6145</v>
      </c>
      <c r="B6150" s="14">
        <f>'EstRev 6-11'!J152</f>
        <v>0</v>
      </c>
      <c r="C6150" s="5">
        <f t="shared" si="73"/>
        <v>6145</v>
      </c>
      <c r="D6150" s="11" t="s">
        <v>63</v>
      </c>
    </row>
    <row r="6151" spans="1:4" x14ac:dyDescent="0.2">
      <c r="A6151">
        <v>6146</v>
      </c>
      <c r="B6151" s="14">
        <f>'EstRev 6-11'!K152</f>
        <v>0</v>
      </c>
      <c r="C6151" s="5">
        <f t="shared" si="73"/>
        <v>6146</v>
      </c>
      <c r="D6151" s="11" t="s">
        <v>63</v>
      </c>
    </row>
    <row r="6152" spans="1:4" x14ac:dyDescent="0.2">
      <c r="A6152">
        <v>6147</v>
      </c>
      <c r="B6152" s="14">
        <f>'EstRev 6-11'!L152</f>
        <v>0</v>
      </c>
      <c r="C6152" s="5">
        <f t="shared" ref="C6152:C6215" si="74">A6152-B6152</f>
        <v>6147</v>
      </c>
      <c r="D6152" s="11" t="s">
        <v>63</v>
      </c>
    </row>
    <row r="6153" spans="1:4" x14ac:dyDescent="0.2">
      <c r="A6153">
        <v>6148</v>
      </c>
      <c r="B6153" s="14">
        <f>'EstRev 6-11'!H154</f>
        <v>0</v>
      </c>
      <c r="C6153" s="5">
        <f t="shared" si="74"/>
        <v>6148</v>
      </c>
      <c r="D6153" s="11" t="s">
        <v>63</v>
      </c>
    </row>
    <row r="6154" spans="1:4" x14ac:dyDescent="0.2">
      <c r="A6154">
        <v>6149</v>
      </c>
      <c r="B6154" s="14">
        <f>'EstRev 6-11'!H155</f>
        <v>0</v>
      </c>
      <c r="C6154" s="5">
        <f t="shared" si="74"/>
        <v>6149</v>
      </c>
      <c r="D6154" s="11" t="s">
        <v>63</v>
      </c>
    </row>
    <row r="6155" spans="1:4" x14ac:dyDescent="0.2">
      <c r="A6155" s="3">
        <v>6150</v>
      </c>
      <c r="D6155" s="11" t="s">
        <v>655</v>
      </c>
    </row>
    <row r="6156" spans="1:4" x14ac:dyDescent="0.2">
      <c r="A6156" s="3">
        <v>6151</v>
      </c>
      <c r="D6156" s="11" t="s">
        <v>655</v>
      </c>
    </row>
    <row r="6157" spans="1:4" x14ac:dyDescent="0.2">
      <c r="A6157" s="3">
        <v>6152</v>
      </c>
      <c r="D6157" s="11" t="s">
        <v>655</v>
      </c>
    </row>
    <row r="6158" spans="1:4" x14ac:dyDescent="0.2">
      <c r="A6158" s="3">
        <v>6153</v>
      </c>
      <c r="D6158" s="11" t="s">
        <v>655</v>
      </c>
    </row>
    <row r="6159" spans="1:4" x14ac:dyDescent="0.2">
      <c r="A6159" s="3">
        <v>6154</v>
      </c>
      <c r="D6159" s="11" t="s">
        <v>655</v>
      </c>
    </row>
    <row r="6160" spans="1:4" x14ac:dyDescent="0.2">
      <c r="A6160" s="3">
        <v>6155</v>
      </c>
      <c r="D6160" s="11" t="s">
        <v>655</v>
      </c>
    </row>
    <row r="6161" spans="1:4" x14ac:dyDescent="0.2">
      <c r="A6161">
        <v>6156</v>
      </c>
      <c r="B6161" s="14">
        <f>'EstRev 6-11'!D165</f>
        <v>0</v>
      </c>
      <c r="C6161" s="5">
        <f t="shared" si="74"/>
        <v>6156</v>
      </c>
      <c r="D6161" s="11" t="s">
        <v>63</v>
      </c>
    </row>
    <row r="6162" spans="1:4" x14ac:dyDescent="0.2">
      <c r="A6162">
        <v>6157</v>
      </c>
      <c r="B6162" s="14">
        <f>'EstRev 6-11'!E165</f>
        <v>0</v>
      </c>
      <c r="C6162" s="5">
        <f t="shared" si="74"/>
        <v>6157</v>
      </c>
      <c r="D6162" s="11" t="s">
        <v>63</v>
      </c>
    </row>
    <row r="6163" spans="1:4" x14ac:dyDescent="0.2">
      <c r="A6163">
        <v>6158</v>
      </c>
      <c r="B6163" s="14">
        <f>'EstRev 6-11'!F165</f>
        <v>0</v>
      </c>
      <c r="C6163" s="5">
        <f t="shared" si="74"/>
        <v>6158</v>
      </c>
      <c r="D6163" s="11" t="s">
        <v>63</v>
      </c>
    </row>
    <row r="6164" spans="1:4" x14ac:dyDescent="0.2">
      <c r="A6164">
        <v>6159</v>
      </c>
      <c r="B6164" s="14">
        <f>'EstRev 6-11'!G165</f>
        <v>0</v>
      </c>
      <c r="C6164" s="5">
        <f t="shared" si="74"/>
        <v>6159</v>
      </c>
      <c r="D6164" s="11" t="s">
        <v>63</v>
      </c>
    </row>
    <row r="6165" spans="1:4" x14ac:dyDescent="0.2">
      <c r="A6165">
        <v>6160</v>
      </c>
      <c r="B6165" s="14">
        <f>'EstRev 6-11'!H165</f>
        <v>0</v>
      </c>
      <c r="C6165" s="5">
        <f t="shared" si="74"/>
        <v>6160</v>
      </c>
      <c r="D6165" s="11" t="s">
        <v>63</v>
      </c>
    </row>
    <row r="6166" spans="1:4" x14ac:dyDescent="0.2">
      <c r="A6166">
        <v>6161</v>
      </c>
      <c r="B6166" s="14">
        <f>'EstRev 6-11'!I165</f>
        <v>0</v>
      </c>
      <c r="C6166" s="5">
        <f t="shared" si="74"/>
        <v>6161</v>
      </c>
      <c r="D6166" s="11" t="s">
        <v>63</v>
      </c>
    </row>
    <row r="6167" spans="1:4" x14ac:dyDescent="0.2">
      <c r="A6167">
        <v>6162</v>
      </c>
      <c r="B6167" s="14">
        <f>'EstRev 6-11'!L165</f>
        <v>0</v>
      </c>
      <c r="C6167" s="5">
        <f t="shared" si="74"/>
        <v>6162</v>
      </c>
      <c r="D6167" s="11" t="s">
        <v>63</v>
      </c>
    </row>
    <row r="6168" spans="1:4" x14ac:dyDescent="0.2">
      <c r="A6168">
        <v>6163</v>
      </c>
      <c r="B6168" s="14">
        <f>'EstRev 6-11'!K170</f>
        <v>0</v>
      </c>
      <c r="C6168" s="5">
        <f t="shared" si="74"/>
        <v>6163</v>
      </c>
      <c r="D6168" s="11" t="s">
        <v>63</v>
      </c>
    </row>
    <row r="6169" spans="1:4" x14ac:dyDescent="0.2">
      <c r="A6169">
        <v>6164</v>
      </c>
      <c r="B6169" s="14">
        <f>'EstRev 6-11'!K171</f>
        <v>0</v>
      </c>
      <c r="C6169" s="5">
        <f t="shared" si="74"/>
        <v>6164</v>
      </c>
      <c r="D6169" s="11" t="s">
        <v>63</v>
      </c>
    </row>
    <row r="6170" spans="1:4" x14ac:dyDescent="0.2">
      <c r="A6170">
        <v>6165</v>
      </c>
      <c r="B6170" s="14">
        <f>'EstRev 6-11'!K172</f>
        <v>0</v>
      </c>
      <c r="C6170" s="5">
        <f t="shared" si="74"/>
        <v>6165</v>
      </c>
      <c r="D6170" s="11" t="s">
        <v>63</v>
      </c>
    </row>
    <row r="6171" spans="1:4" x14ac:dyDescent="0.2">
      <c r="A6171">
        <v>6166</v>
      </c>
      <c r="B6171" s="14">
        <f>'EstRev 6-11'!K175</f>
        <v>0</v>
      </c>
      <c r="C6171" s="5">
        <f t="shared" si="74"/>
        <v>6166</v>
      </c>
      <c r="D6171" s="11" t="s">
        <v>63</v>
      </c>
    </row>
    <row r="6172" spans="1:4" x14ac:dyDescent="0.2">
      <c r="A6172">
        <v>6167</v>
      </c>
      <c r="B6172" s="14">
        <f>'EstRev 6-11'!K176</f>
        <v>0</v>
      </c>
      <c r="C6172" s="5">
        <f t="shared" si="74"/>
        <v>6167</v>
      </c>
      <c r="D6172" s="11" t="s">
        <v>63</v>
      </c>
    </row>
    <row r="6173" spans="1:4" x14ac:dyDescent="0.2">
      <c r="A6173">
        <v>6168</v>
      </c>
      <c r="B6173" s="14">
        <f>'EstRev 6-11'!K177</f>
        <v>0</v>
      </c>
      <c r="C6173" s="5">
        <f t="shared" si="74"/>
        <v>6168</v>
      </c>
      <c r="D6173" s="11" t="s">
        <v>63</v>
      </c>
    </row>
    <row r="6174" spans="1:4" x14ac:dyDescent="0.2">
      <c r="A6174">
        <v>6169</v>
      </c>
      <c r="B6174" s="14">
        <f>'EstRev 6-11'!D192</f>
        <v>0</v>
      </c>
      <c r="C6174" s="5">
        <f t="shared" si="74"/>
        <v>6169</v>
      </c>
      <c r="D6174" s="11" t="s">
        <v>63</v>
      </c>
    </row>
    <row r="6175" spans="1:4" x14ac:dyDescent="0.2">
      <c r="A6175">
        <v>6170</v>
      </c>
      <c r="B6175" s="14">
        <f>'EstRev 6-11'!H192</f>
        <v>0</v>
      </c>
      <c r="C6175" s="5">
        <f t="shared" si="74"/>
        <v>6170</v>
      </c>
      <c r="D6175" s="11" t="s">
        <v>63</v>
      </c>
    </row>
    <row r="6176" spans="1:4" x14ac:dyDescent="0.2">
      <c r="A6176">
        <v>6171</v>
      </c>
      <c r="B6176" s="14">
        <f>'EstRev 6-11'!H193</f>
        <v>0</v>
      </c>
      <c r="C6176" s="5">
        <f t="shared" si="74"/>
        <v>6171</v>
      </c>
      <c r="D6176" s="11" t="s">
        <v>63</v>
      </c>
    </row>
    <row r="6177" spans="1:4" x14ac:dyDescent="0.2">
      <c r="A6177">
        <v>6172</v>
      </c>
      <c r="B6177" s="14">
        <f>'EstRev 6-11'!H194</f>
        <v>0</v>
      </c>
      <c r="C6177" s="5">
        <f t="shared" si="74"/>
        <v>6172</v>
      </c>
      <c r="D6177" s="11" t="s">
        <v>63</v>
      </c>
    </row>
    <row r="6178" spans="1:4" x14ac:dyDescent="0.2">
      <c r="A6178">
        <v>6173</v>
      </c>
      <c r="B6178" s="14">
        <f>'EstRev 6-11'!H195</f>
        <v>0</v>
      </c>
      <c r="C6178" s="5">
        <f t="shared" si="74"/>
        <v>6173</v>
      </c>
      <c r="D6178" s="11" t="s">
        <v>63</v>
      </c>
    </row>
    <row r="6179" spans="1:4" x14ac:dyDescent="0.2">
      <c r="A6179">
        <v>6174</v>
      </c>
      <c r="B6179" s="14">
        <f>'EstRev 6-11'!H196</f>
        <v>0</v>
      </c>
      <c r="C6179" s="5">
        <f t="shared" si="74"/>
        <v>6174</v>
      </c>
      <c r="D6179" s="11" t="s">
        <v>63</v>
      </c>
    </row>
    <row r="6180" spans="1:4" x14ac:dyDescent="0.2">
      <c r="A6180">
        <v>6175</v>
      </c>
      <c r="B6180" s="14">
        <f>'EstRev 6-11'!H197</f>
        <v>0</v>
      </c>
      <c r="C6180" s="5">
        <f t="shared" si="74"/>
        <v>6175</v>
      </c>
      <c r="D6180" s="11" t="s">
        <v>63</v>
      </c>
    </row>
    <row r="6181" spans="1:4" x14ac:dyDescent="0.2">
      <c r="A6181">
        <v>6176</v>
      </c>
      <c r="B6181" s="14">
        <f>'EstRev 6-11'!H199</f>
        <v>0</v>
      </c>
      <c r="C6181" s="5">
        <f t="shared" si="74"/>
        <v>6176</v>
      </c>
      <c r="D6181" s="11" t="s">
        <v>63</v>
      </c>
    </row>
    <row r="6182" spans="1:4" x14ac:dyDescent="0.2">
      <c r="A6182">
        <v>6177</v>
      </c>
      <c r="B6182" s="14">
        <f>'EstRev 6-11'!H200</f>
        <v>0</v>
      </c>
      <c r="C6182" s="5">
        <f t="shared" si="74"/>
        <v>6177</v>
      </c>
      <c r="D6182" s="11" t="s">
        <v>63</v>
      </c>
    </row>
    <row r="6183" spans="1:4" x14ac:dyDescent="0.2">
      <c r="A6183" s="3">
        <v>6178</v>
      </c>
      <c r="D6183" s="11" t="s">
        <v>655</v>
      </c>
    </row>
    <row r="6184" spans="1:4" x14ac:dyDescent="0.2">
      <c r="A6184" s="3">
        <v>6179</v>
      </c>
      <c r="D6184" s="11" t="s">
        <v>655</v>
      </c>
    </row>
    <row r="6185" spans="1:4" x14ac:dyDescent="0.2">
      <c r="A6185" s="3">
        <v>6180</v>
      </c>
      <c r="D6185" s="11" t="s">
        <v>655</v>
      </c>
    </row>
    <row r="6186" spans="1:4" x14ac:dyDescent="0.2">
      <c r="A6186">
        <v>6181</v>
      </c>
      <c r="B6186" s="14">
        <f>'EstRev 6-11'!K269</f>
        <v>0</v>
      </c>
      <c r="C6186" s="5">
        <f t="shared" si="74"/>
        <v>6181</v>
      </c>
      <c r="D6186" s="11" t="s">
        <v>63</v>
      </c>
    </row>
    <row r="6187" spans="1:4" x14ac:dyDescent="0.2">
      <c r="A6187">
        <v>6182</v>
      </c>
      <c r="B6187" s="14">
        <f>'EstRev 6-11'!K270</f>
        <v>360000</v>
      </c>
      <c r="C6187" s="5">
        <f t="shared" si="74"/>
        <v>-353818</v>
      </c>
      <c r="D6187" s="11" t="s">
        <v>63</v>
      </c>
    </row>
    <row r="6188" spans="1:4" x14ac:dyDescent="0.2">
      <c r="A6188">
        <v>6183</v>
      </c>
      <c r="B6188" s="14">
        <f>'EstExp 12-20'!J5</f>
        <v>0</v>
      </c>
      <c r="C6188" s="5">
        <f t="shared" si="74"/>
        <v>6183</v>
      </c>
      <c r="D6188" s="11" t="s">
        <v>63</v>
      </c>
    </row>
    <row r="6189" spans="1:4" x14ac:dyDescent="0.2">
      <c r="A6189">
        <v>6184</v>
      </c>
      <c r="B6189" s="14">
        <f>'EstExp 12-20'!K5</f>
        <v>0</v>
      </c>
      <c r="C6189" s="5">
        <f t="shared" si="74"/>
        <v>6184</v>
      </c>
      <c r="D6189" s="11" t="s">
        <v>63</v>
      </c>
    </row>
    <row r="6190" spans="1:4" x14ac:dyDescent="0.2">
      <c r="A6190">
        <v>6185</v>
      </c>
      <c r="B6190" s="14">
        <f>'EstExp 12-20'!D7</f>
        <v>0</v>
      </c>
      <c r="C6190" s="5">
        <f t="shared" si="74"/>
        <v>6185</v>
      </c>
      <c r="D6190" s="11" t="s">
        <v>63</v>
      </c>
    </row>
    <row r="6191" spans="1:4" x14ac:dyDescent="0.2">
      <c r="A6191">
        <v>6186</v>
      </c>
      <c r="B6191" s="14">
        <f>'EstExp 12-20'!E7</f>
        <v>0</v>
      </c>
      <c r="C6191" s="5">
        <f t="shared" si="74"/>
        <v>6186</v>
      </c>
      <c r="D6191" s="11" t="s">
        <v>63</v>
      </c>
    </row>
    <row r="6192" spans="1:4" x14ac:dyDescent="0.2">
      <c r="A6192">
        <v>6187</v>
      </c>
      <c r="B6192" s="14">
        <f>'EstExp 12-20'!F7</f>
        <v>0</v>
      </c>
      <c r="C6192" s="5">
        <f t="shared" si="74"/>
        <v>6187</v>
      </c>
      <c r="D6192" s="11" t="s">
        <v>63</v>
      </c>
    </row>
    <row r="6193" spans="1:4" x14ac:dyDescent="0.2">
      <c r="A6193">
        <v>6188</v>
      </c>
      <c r="B6193" s="14">
        <f>'EstExp 12-20'!G7</f>
        <v>0</v>
      </c>
      <c r="C6193" s="5">
        <f t="shared" si="74"/>
        <v>6188</v>
      </c>
      <c r="D6193" s="11" t="s">
        <v>63</v>
      </c>
    </row>
    <row r="6194" spans="1:4" x14ac:dyDescent="0.2">
      <c r="A6194">
        <v>6189</v>
      </c>
      <c r="B6194" s="14">
        <f>'EstExp 12-20'!H7</f>
        <v>0</v>
      </c>
      <c r="C6194" s="5">
        <f t="shared" si="74"/>
        <v>6189</v>
      </c>
      <c r="D6194" s="11" t="s">
        <v>63</v>
      </c>
    </row>
    <row r="6195" spans="1:4" x14ac:dyDescent="0.2">
      <c r="A6195">
        <v>6190</v>
      </c>
      <c r="B6195" s="14">
        <f>'EstExp 12-20'!I7</f>
        <v>0</v>
      </c>
      <c r="C6195" s="5">
        <f t="shared" si="74"/>
        <v>6190</v>
      </c>
      <c r="D6195" s="11" t="s">
        <v>63</v>
      </c>
    </row>
    <row r="6196" spans="1:4" x14ac:dyDescent="0.2">
      <c r="A6196">
        <v>6191</v>
      </c>
      <c r="B6196" s="14">
        <f>'EstExp 12-20'!J7</f>
        <v>0</v>
      </c>
      <c r="C6196" s="5">
        <f t="shared" si="74"/>
        <v>6191</v>
      </c>
      <c r="D6196" s="11" t="s">
        <v>63</v>
      </c>
    </row>
    <row r="6197" spans="1:4" x14ac:dyDescent="0.2">
      <c r="A6197">
        <v>6192</v>
      </c>
      <c r="B6197" s="14">
        <f>'EstExp 12-20'!K7</f>
        <v>0</v>
      </c>
      <c r="C6197" s="5">
        <f t="shared" si="74"/>
        <v>6192</v>
      </c>
      <c r="D6197" s="11" t="s">
        <v>63</v>
      </c>
    </row>
    <row r="6198" spans="1:4" x14ac:dyDescent="0.2">
      <c r="A6198">
        <v>6193</v>
      </c>
      <c r="B6198" s="14">
        <f>'EstExp 12-20'!L7</f>
        <v>0</v>
      </c>
      <c r="C6198" s="5">
        <f t="shared" si="74"/>
        <v>6193</v>
      </c>
      <c r="D6198" s="11" t="s">
        <v>63</v>
      </c>
    </row>
    <row r="6199" spans="1:4" x14ac:dyDescent="0.2">
      <c r="A6199">
        <v>6194</v>
      </c>
      <c r="B6199" s="14">
        <f>'EstExp 12-20'!J8</f>
        <v>0</v>
      </c>
      <c r="C6199" s="5">
        <f t="shared" si="74"/>
        <v>6194</v>
      </c>
      <c r="D6199" s="11" t="s">
        <v>63</v>
      </c>
    </row>
    <row r="6200" spans="1:4" x14ac:dyDescent="0.2">
      <c r="A6200">
        <v>6195</v>
      </c>
      <c r="B6200" s="14">
        <f>'EstExp 12-20'!K8</f>
        <v>0</v>
      </c>
      <c r="C6200" s="5">
        <f t="shared" si="74"/>
        <v>6195</v>
      </c>
      <c r="D6200" s="11" t="s">
        <v>63</v>
      </c>
    </row>
    <row r="6201" spans="1:4" x14ac:dyDescent="0.2">
      <c r="A6201">
        <v>6196</v>
      </c>
      <c r="B6201" s="14">
        <f>'EstExp 12-20'!D9</f>
        <v>0</v>
      </c>
      <c r="C6201" s="5">
        <f t="shared" si="74"/>
        <v>6196</v>
      </c>
      <c r="D6201" s="11" t="s">
        <v>63</v>
      </c>
    </row>
    <row r="6202" spans="1:4" x14ac:dyDescent="0.2">
      <c r="A6202">
        <v>6197</v>
      </c>
      <c r="B6202" s="14">
        <f>'EstExp 12-20'!E9</f>
        <v>0</v>
      </c>
      <c r="C6202" s="5">
        <f t="shared" si="74"/>
        <v>6197</v>
      </c>
      <c r="D6202" s="11" t="s">
        <v>63</v>
      </c>
    </row>
    <row r="6203" spans="1:4" x14ac:dyDescent="0.2">
      <c r="A6203">
        <v>6198</v>
      </c>
      <c r="B6203" s="14">
        <f>'EstExp 12-20'!F9</f>
        <v>0</v>
      </c>
      <c r="C6203" s="5">
        <f t="shared" si="74"/>
        <v>6198</v>
      </c>
      <c r="D6203" s="11" t="s">
        <v>63</v>
      </c>
    </row>
    <row r="6204" spans="1:4" x14ac:dyDescent="0.2">
      <c r="A6204">
        <v>6199</v>
      </c>
      <c r="B6204" s="14">
        <f>'EstExp 12-20'!G9</f>
        <v>0</v>
      </c>
      <c r="C6204" s="5">
        <f t="shared" si="74"/>
        <v>6199</v>
      </c>
      <c r="D6204" s="11" t="s">
        <v>63</v>
      </c>
    </row>
    <row r="6205" spans="1:4" x14ac:dyDescent="0.2">
      <c r="A6205">
        <v>6200</v>
      </c>
      <c r="B6205" s="14">
        <f>'EstExp 12-20'!H9</f>
        <v>0</v>
      </c>
      <c r="C6205" s="5">
        <f t="shared" si="74"/>
        <v>6200</v>
      </c>
      <c r="D6205" s="11" t="s">
        <v>63</v>
      </c>
    </row>
    <row r="6206" spans="1:4" x14ac:dyDescent="0.2">
      <c r="A6206">
        <v>6201</v>
      </c>
      <c r="B6206" s="14">
        <f>'EstExp 12-20'!I9</f>
        <v>0</v>
      </c>
      <c r="C6206" s="5">
        <f t="shared" si="74"/>
        <v>6201</v>
      </c>
      <c r="D6206" s="11" t="s">
        <v>63</v>
      </c>
    </row>
    <row r="6207" spans="1:4" x14ac:dyDescent="0.2">
      <c r="A6207">
        <v>6202</v>
      </c>
      <c r="B6207" s="14">
        <f>'EstExp 12-20'!J9</f>
        <v>0</v>
      </c>
      <c r="C6207" s="5">
        <f t="shared" si="74"/>
        <v>6202</v>
      </c>
      <c r="D6207" s="11" t="s">
        <v>63</v>
      </c>
    </row>
    <row r="6208" spans="1:4" x14ac:dyDescent="0.2">
      <c r="A6208">
        <v>6203</v>
      </c>
      <c r="B6208" s="14">
        <f>'EstExp 12-20'!K9</f>
        <v>0</v>
      </c>
      <c r="C6208" s="5">
        <f t="shared" si="74"/>
        <v>6203</v>
      </c>
      <c r="D6208" s="11" t="s">
        <v>63</v>
      </c>
    </row>
    <row r="6209" spans="1:4" x14ac:dyDescent="0.2">
      <c r="A6209">
        <v>6204</v>
      </c>
      <c r="B6209" s="14">
        <f>'EstExp 12-20'!L9</f>
        <v>0</v>
      </c>
      <c r="C6209" s="5">
        <f t="shared" si="74"/>
        <v>6204</v>
      </c>
      <c r="D6209" s="11" t="s">
        <v>63</v>
      </c>
    </row>
    <row r="6210" spans="1:4" x14ac:dyDescent="0.2">
      <c r="A6210">
        <v>6205</v>
      </c>
      <c r="B6210" s="14">
        <f>'EstExp 12-20'!J10</f>
        <v>0</v>
      </c>
      <c r="C6210" s="5">
        <f t="shared" si="74"/>
        <v>6205</v>
      </c>
      <c r="D6210" s="11" t="s">
        <v>63</v>
      </c>
    </row>
    <row r="6211" spans="1:4" x14ac:dyDescent="0.2">
      <c r="A6211">
        <v>6206</v>
      </c>
      <c r="B6211" s="14">
        <f>'EstExp 12-20'!K10</f>
        <v>0</v>
      </c>
      <c r="C6211" s="5">
        <f t="shared" si="74"/>
        <v>6206</v>
      </c>
      <c r="D6211" s="11" t="s">
        <v>63</v>
      </c>
    </row>
    <row r="6212" spans="1:4" x14ac:dyDescent="0.2">
      <c r="A6212">
        <v>6207</v>
      </c>
      <c r="B6212" s="14">
        <f>'EstExp 12-20'!D11</f>
        <v>0</v>
      </c>
      <c r="C6212" s="5">
        <f t="shared" si="74"/>
        <v>6207</v>
      </c>
      <c r="D6212" s="11" t="s">
        <v>63</v>
      </c>
    </row>
    <row r="6213" spans="1:4" x14ac:dyDescent="0.2">
      <c r="A6213">
        <v>6208</v>
      </c>
      <c r="B6213" s="14">
        <f>'EstExp 12-20'!E11</f>
        <v>0</v>
      </c>
      <c r="C6213" s="5">
        <f t="shared" si="74"/>
        <v>6208</v>
      </c>
      <c r="D6213" s="11" t="s">
        <v>63</v>
      </c>
    </row>
    <row r="6214" spans="1:4" x14ac:dyDescent="0.2">
      <c r="A6214">
        <v>6209</v>
      </c>
      <c r="B6214" s="14">
        <f>'EstExp 12-20'!F11</f>
        <v>0</v>
      </c>
      <c r="C6214" s="5">
        <f t="shared" si="74"/>
        <v>6209</v>
      </c>
      <c r="D6214" s="11" t="s">
        <v>63</v>
      </c>
    </row>
    <row r="6215" spans="1:4" x14ac:dyDescent="0.2">
      <c r="A6215">
        <v>6210</v>
      </c>
      <c r="B6215" s="14">
        <f>'EstExp 12-20'!G11</f>
        <v>0</v>
      </c>
      <c r="C6215" s="5">
        <f t="shared" si="74"/>
        <v>6210</v>
      </c>
      <c r="D6215" s="11" t="s">
        <v>63</v>
      </c>
    </row>
    <row r="6216" spans="1:4" x14ac:dyDescent="0.2">
      <c r="A6216">
        <v>6211</v>
      </c>
      <c r="B6216" s="14">
        <f>'EstExp 12-20'!H11</f>
        <v>0</v>
      </c>
      <c r="C6216" s="5">
        <f t="shared" ref="C6216:C6279" si="75">A6216-B6216</f>
        <v>6211</v>
      </c>
      <c r="D6216" s="11" t="s">
        <v>63</v>
      </c>
    </row>
    <row r="6217" spans="1:4" x14ac:dyDescent="0.2">
      <c r="A6217">
        <v>6212</v>
      </c>
      <c r="B6217" s="14">
        <f>'EstExp 12-20'!I11</f>
        <v>0</v>
      </c>
      <c r="C6217" s="5">
        <f t="shared" si="75"/>
        <v>6212</v>
      </c>
      <c r="D6217" s="11" t="s">
        <v>63</v>
      </c>
    </row>
    <row r="6218" spans="1:4" x14ac:dyDescent="0.2">
      <c r="A6218">
        <v>6213</v>
      </c>
      <c r="B6218" s="14">
        <f>'EstExp 12-20'!J11</f>
        <v>0</v>
      </c>
      <c r="C6218" s="5">
        <f t="shared" si="75"/>
        <v>6213</v>
      </c>
      <c r="D6218" s="11" t="s">
        <v>63</v>
      </c>
    </row>
    <row r="6219" spans="1:4" x14ac:dyDescent="0.2">
      <c r="A6219">
        <v>6214</v>
      </c>
      <c r="B6219" s="14">
        <f>'EstExp 12-20'!K11</f>
        <v>0</v>
      </c>
      <c r="C6219" s="5">
        <f t="shared" si="75"/>
        <v>6214</v>
      </c>
      <c r="D6219" s="11" t="s">
        <v>63</v>
      </c>
    </row>
    <row r="6220" spans="1:4" x14ac:dyDescent="0.2">
      <c r="A6220">
        <v>6215</v>
      </c>
      <c r="B6220" s="14">
        <f>'EstExp 12-20'!L11</f>
        <v>0</v>
      </c>
      <c r="C6220" s="5">
        <f t="shared" si="75"/>
        <v>6215</v>
      </c>
      <c r="D6220" s="11" t="s">
        <v>63</v>
      </c>
    </row>
    <row r="6221" spans="1:4" x14ac:dyDescent="0.2">
      <c r="A6221">
        <v>6216</v>
      </c>
      <c r="B6221" s="14">
        <f>'EstExp 12-20'!J12</f>
        <v>0</v>
      </c>
      <c r="C6221" s="5">
        <f t="shared" si="75"/>
        <v>6216</v>
      </c>
      <c r="D6221" s="11" t="s">
        <v>63</v>
      </c>
    </row>
    <row r="6222" spans="1:4" x14ac:dyDescent="0.2">
      <c r="A6222">
        <v>6217</v>
      </c>
      <c r="B6222" s="14">
        <f>'EstExp 12-20'!K12</f>
        <v>0</v>
      </c>
      <c r="C6222" s="5">
        <f t="shared" si="75"/>
        <v>6217</v>
      </c>
      <c r="D6222" s="11" t="s">
        <v>63</v>
      </c>
    </row>
    <row r="6223" spans="1:4" x14ac:dyDescent="0.2">
      <c r="A6223">
        <v>6218</v>
      </c>
      <c r="B6223" s="14">
        <f>'EstExp 12-20'!J13</f>
        <v>0</v>
      </c>
      <c r="C6223" s="5">
        <f t="shared" si="75"/>
        <v>6218</v>
      </c>
      <c r="D6223" s="11" t="s">
        <v>63</v>
      </c>
    </row>
    <row r="6224" spans="1:4" x14ac:dyDescent="0.2">
      <c r="A6224">
        <v>6219</v>
      </c>
      <c r="B6224" s="14">
        <f>'EstExp 12-20'!K13</f>
        <v>0</v>
      </c>
      <c r="C6224" s="5">
        <f t="shared" si="75"/>
        <v>6219</v>
      </c>
      <c r="D6224" s="11" t="s">
        <v>63</v>
      </c>
    </row>
    <row r="6225" spans="1:4" x14ac:dyDescent="0.2">
      <c r="A6225">
        <v>6220</v>
      </c>
      <c r="B6225" s="14">
        <f>'EstExp 12-20'!J14</f>
        <v>0</v>
      </c>
      <c r="C6225" s="5">
        <f t="shared" si="75"/>
        <v>6220</v>
      </c>
      <c r="D6225" s="11" t="s">
        <v>63</v>
      </c>
    </row>
    <row r="6226" spans="1:4" x14ac:dyDescent="0.2">
      <c r="A6226">
        <v>6221</v>
      </c>
      <c r="B6226" s="14">
        <f>'EstExp 12-20'!K14</f>
        <v>0</v>
      </c>
      <c r="C6226" s="5">
        <f t="shared" si="75"/>
        <v>6221</v>
      </c>
      <c r="D6226" s="11" t="s">
        <v>63</v>
      </c>
    </row>
    <row r="6227" spans="1:4" x14ac:dyDescent="0.2">
      <c r="A6227">
        <v>6222</v>
      </c>
      <c r="B6227" s="14">
        <f>'EstExp 12-20'!J15</f>
        <v>0</v>
      </c>
      <c r="C6227" s="5">
        <f t="shared" si="75"/>
        <v>6222</v>
      </c>
      <c r="D6227" s="11" t="s">
        <v>63</v>
      </c>
    </row>
    <row r="6228" spans="1:4" x14ac:dyDescent="0.2">
      <c r="A6228">
        <v>6223</v>
      </c>
      <c r="B6228" s="14">
        <f>'EstExp 12-20'!K15</f>
        <v>0</v>
      </c>
      <c r="C6228" s="5">
        <f t="shared" si="75"/>
        <v>6223</v>
      </c>
      <c r="D6228" s="11" t="s">
        <v>63</v>
      </c>
    </row>
    <row r="6229" spans="1:4" x14ac:dyDescent="0.2">
      <c r="A6229">
        <v>6224</v>
      </c>
      <c r="B6229" s="14">
        <f>'EstExp 12-20'!J16</f>
        <v>0</v>
      </c>
      <c r="C6229" s="5">
        <f t="shared" si="75"/>
        <v>6224</v>
      </c>
      <c r="D6229" s="11" t="s">
        <v>63</v>
      </c>
    </row>
    <row r="6230" spans="1:4" x14ac:dyDescent="0.2">
      <c r="A6230">
        <v>6225</v>
      </c>
      <c r="B6230" s="14">
        <f>'EstExp 12-20'!K16</f>
        <v>0</v>
      </c>
      <c r="C6230" s="5">
        <f t="shared" si="75"/>
        <v>6225</v>
      </c>
      <c r="D6230" s="11" t="s">
        <v>63</v>
      </c>
    </row>
    <row r="6231" spans="1:4" x14ac:dyDescent="0.2">
      <c r="A6231">
        <v>6226</v>
      </c>
      <c r="B6231" s="14">
        <f>'EstExp 12-20'!D17</f>
        <v>0</v>
      </c>
      <c r="C6231" s="5">
        <f t="shared" si="75"/>
        <v>6226</v>
      </c>
      <c r="D6231" s="11" t="s">
        <v>63</v>
      </c>
    </row>
    <row r="6232" spans="1:4" x14ac:dyDescent="0.2">
      <c r="A6232">
        <v>6227</v>
      </c>
      <c r="B6232" s="14">
        <f>'EstExp 12-20'!E17</f>
        <v>0</v>
      </c>
      <c r="C6232" s="5">
        <f t="shared" si="75"/>
        <v>6227</v>
      </c>
      <c r="D6232" s="11" t="s">
        <v>63</v>
      </c>
    </row>
    <row r="6233" spans="1:4" x14ac:dyDescent="0.2">
      <c r="A6233">
        <v>6228</v>
      </c>
      <c r="B6233" s="14">
        <f>'EstExp 12-20'!F17</f>
        <v>0</v>
      </c>
      <c r="C6233" s="5">
        <f t="shared" si="75"/>
        <v>6228</v>
      </c>
      <c r="D6233" s="11" t="s">
        <v>63</v>
      </c>
    </row>
    <row r="6234" spans="1:4" x14ac:dyDescent="0.2">
      <c r="A6234">
        <v>6229</v>
      </c>
      <c r="B6234" s="14">
        <f>'EstExp 12-20'!G17</f>
        <v>0</v>
      </c>
      <c r="C6234" s="5">
        <f t="shared" si="75"/>
        <v>6229</v>
      </c>
      <c r="D6234" s="11" t="s">
        <v>63</v>
      </c>
    </row>
    <row r="6235" spans="1:4" x14ac:dyDescent="0.2">
      <c r="A6235">
        <v>6230</v>
      </c>
      <c r="B6235" s="14">
        <f>'EstExp 12-20'!H17</f>
        <v>0</v>
      </c>
      <c r="C6235" s="5">
        <f t="shared" si="75"/>
        <v>6230</v>
      </c>
      <c r="D6235" s="11" t="s">
        <v>63</v>
      </c>
    </row>
    <row r="6236" spans="1:4" x14ac:dyDescent="0.2">
      <c r="A6236">
        <v>6231</v>
      </c>
      <c r="B6236" s="14">
        <f>'EstExp 12-20'!I17</f>
        <v>0</v>
      </c>
      <c r="C6236" s="5">
        <f t="shared" si="75"/>
        <v>6231</v>
      </c>
      <c r="D6236" s="11" t="s">
        <v>63</v>
      </c>
    </row>
    <row r="6237" spans="1:4" x14ac:dyDescent="0.2">
      <c r="A6237">
        <v>6232</v>
      </c>
      <c r="B6237" s="14">
        <f>'EstExp 12-20'!J17</f>
        <v>0</v>
      </c>
      <c r="C6237" s="5">
        <f t="shared" si="75"/>
        <v>6232</v>
      </c>
      <c r="D6237" s="11" t="s">
        <v>63</v>
      </c>
    </row>
    <row r="6238" spans="1:4" x14ac:dyDescent="0.2">
      <c r="A6238">
        <v>6233</v>
      </c>
      <c r="B6238" s="14">
        <f>'EstExp 12-20'!K17</f>
        <v>0</v>
      </c>
      <c r="C6238" s="5">
        <f t="shared" si="75"/>
        <v>6233</v>
      </c>
      <c r="D6238" s="11" t="s">
        <v>63</v>
      </c>
    </row>
    <row r="6239" spans="1:4" x14ac:dyDescent="0.2">
      <c r="A6239">
        <v>6234</v>
      </c>
      <c r="B6239" s="14">
        <f>'EstExp 12-20'!L17</f>
        <v>0</v>
      </c>
      <c r="C6239" s="5">
        <f t="shared" si="75"/>
        <v>6234</v>
      </c>
      <c r="D6239" s="11" t="s">
        <v>63</v>
      </c>
    </row>
    <row r="6240" spans="1:4" x14ac:dyDescent="0.2">
      <c r="A6240">
        <v>6235</v>
      </c>
      <c r="B6240" s="14">
        <f>'EstExp 12-20'!J18</f>
        <v>0</v>
      </c>
      <c r="C6240" s="5">
        <f t="shared" si="75"/>
        <v>6235</v>
      </c>
      <c r="D6240" s="11" t="s">
        <v>63</v>
      </c>
    </row>
    <row r="6241" spans="1:4" x14ac:dyDescent="0.2">
      <c r="A6241">
        <v>6236</v>
      </c>
      <c r="B6241" s="14">
        <f>'EstExp 12-20'!J19</f>
        <v>0</v>
      </c>
      <c r="C6241" s="5">
        <f t="shared" si="75"/>
        <v>6236</v>
      </c>
      <c r="D6241" s="11" t="s">
        <v>63</v>
      </c>
    </row>
    <row r="6242" spans="1:4" x14ac:dyDescent="0.2">
      <c r="A6242">
        <v>6237</v>
      </c>
      <c r="B6242" s="14">
        <f>'EstExp 12-20'!K19</f>
        <v>0</v>
      </c>
      <c r="C6242" s="5">
        <f t="shared" si="75"/>
        <v>6237</v>
      </c>
      <c r="D6242" s="11" t="s">
        <v>63</v>
      </c>
    </row>
    <row r="6243" spans="1:4" x14ac:dyDescent="0.2">
      <c r="A6243">
        <v>6238</v>
      </c>
      <c r="B6243" s="14">
        <f>'EstExp 12-20'!I20</f>
        <v>0</v>
      </c>
      <c r="C6243" s="5">
        <f t="shared" si="75"/>
        <v>6238</v>
      </c>
      <c r="D6243" s="11" t="s">
        <v>63</v>
      </c>
    </row>
    <row r="6244" spans="1:4" x14ac:dyDescent="0.2">
      <c r="A6244">
        <v>6239</v>
      </c>
      <c r="B6244" s="14">
        <f>'EstExp 12-20'!L20</f>
        <v>0</v>
      </c>
      <c r="C6244" s="5">
        <f t="shared" si="75"/>
        <v>6239</v>
      </c>
      <c r="D6244" s="11" t="s">
        <v>63</v>
      </c>
    </row>
    <row r="6245" spans="1:4" x14ac:dyDescent="0.2">
      <c r="A6245">
        <v>6240</v>
      </c>
      <c r="B6245" s="14">
        <f>'EstExp 12-20'!I21</f>
        <v>0</v>
      </c>
      <c r="C6245" s="5">
        <f t="shared" si="75"/>
        <v>6240</v>
      </c>
      <c r="D6245" s="11" t="s">
        <v>63</v>
      </c>
    </row>
    <row r="6246" spans="1:4" x14ac:dyDescent="0.2">
      <c r="A6246">
        <v>6241</v>
      </c>
      <c r="B6246" s="14">
        <f>'EstExp 12-20'!L21</f>
        <v>0</v>
      </c>
      <c r="C6246" s="5">
        <f t="shared" si="75"/>
        <v>6241</v>
      </c>
      <c r="D6246" s="11" t="s">
        <v>63</v>
      </c>
    </row>
    <row r="6247" spans="1:4" x14ac:dyDescent="0.2">
      <c r="A6247">
        <v>6242</v>
      </c>
      <c r="B6247" s="14">
        <f>'EstExp 12-20'!I22</f>
        <v>0</v>
      </c>
      <c r="C6247" s="5">
        <f t="shared" si="75"/>
        <v>6242</v>
      </c>
      <c r="D6247" s="11" t="s">
        <v>63</v>
      </c>
    </row>
    <row r="6248" spans="1:4" x14ac:dyDescent="0.2">
      <c r="A6248">
        <v>6243</v>
      </c>
      <c r="B6248" s="14">
        <f>'EstExp 12-20'!L22</f>
        <v>0</v>
      </c>
      <c r="C6248" s="5">
        <f t="shared" si="75"/>
        <v>6243</v>
      </c>
      <c r="D6248" s="11" t="s">
        <v>63</v>
      </c>
    </row>
    <row r="6249" spans="1:4" x14ac:dyDescent="0.2">
      <c r="A6249">
        <v>6244</v>
      </c>
      <c r="B6249" s="14">
        <f>'EstExp 12-20'!I23</f>
        <v>0</v>
      </c>
      <c r="C6249" s="5">
        <f t="shared" si="75"/>
        <v>6244</v>
      </c>
      <c r="D6249" s="11" t="s">
        <v>63</v>
      </c>
    </row>
    <row r="6250" spans="1:4" x14ac:dyDescent="0.2">
      <c r="A6250">
        <v>6245</v>
      </c>
      <c r="B6250" s="14">
        <f>'EstExp 12-20'!L23</f>
        <v>0</v>
      </c>
      <c r="C6250" s="5">
        <f t="shared" si="75"/>
        <v>6245</v>
      </c>
      <c r="D6250" s="11" t="s">
        <v>63</v>
      </c>
    </row>
    <row r="6251" spans="1:4" x14ac:dyDescent="0.2">
      <c r="A6251">
        <v>6246</v>
      </c>
      <c r="B6251" s="14">
        <f>'EstExp 12-20'!I24</f>
        <v>0</v>
      </c>
      <c r="C6251" s="5">
        <f t="shared" si="75"/>
        <v>6246</v>
      </c>
      <c r="D6251" s="11" t="s">
        <v>63</v>
      </c>
    </row>
    <row r="6252" spans="1:4" x14ac:dyDescent="0.2">
      <c r="A6252">
        <v>6247</v>
      </c>
      <c r="B6252" s="14">
        <f>'EstExp 12-20'!L24</f>
        <v>0</v>
      </c>
      <c r="C6252" s="5">
        <f t="shared" si="75"/>
        <v>6247</v>
      </c>
      <c r="D6252" s="11" t="s">
        <v>63</v>
      </c>
    </row>
    <row r="6253" spans="1:4" x14ac:dyDescent="0.2">
      <c r="A6253">
        <v>6248</v>
      </c>
      <c r="B6253" s="14">
        <f>'EstExp 12-20'!I25</f>
        <v>0</v>
      </c>
      <c r="C6253" s="5">
        <f t="shared" si="75"/>
        <v>6248</v>
      </c>
      <c r="D6253" s="11" t="s">
        <v>63</v>
      </c>
    </row>
    <row r="6254" spans="1:4" x14ac:dyDescent="0.2">
      <c r="A6254">
        <v>6249</v>
      </c>
      <c r="B6254" s="14">
        <f>'EstExp 12-20'!L25</f>
        <v>0</v>
      </c>
      <c r="C6254" s="5">
        <f t="shared" si="75"/>
        <v>6249</v>
      </c>
      <c r="D6254" s="11" t="s">
        <v>63</v>
      </c>
    </row>
    <row r="6255" spans="1:4" x14ac:dyDescent="0.2">
      <c r="A6255">
        <v>6250</v>
      </c>
      <c r="B6255" s="14">
        <f>'EstExp 12-20'!I26</f>
        <v>0</v>
      </c>
      <c r="C6255" s="5">
        <f t="shared" si="75"/>
        <v>6250</v>
      </c>
      <c r="D6255" s="11" t="s">
        <v>63</v>
      </c>
    </row>
    <row r="6256" spans="1:4" x14ac:dyDescent="0.2">
      <c r="A6256">
        <v>6251</v>
      </c>
      <c r="B6256" s="14">
        <f>'EstExp 12-20'!L26</f>
        <v>0</v>
      </c>
      <c r="C6256" s="5">
        <f t="shared" si="75"/>
        <v>6251</v>
      </c>
      <c r="D6256" s="11" t="s">
        <v>63</v>
      </c>
    </row>
    <row r="6257" spans="1:4" x14ac:dyDescent="0.2">
      <c r="A6257">
        <v>6252</v>
      </c>
      <c r="B6257" s="14">
        <f>'EstExp 12-20'!I27</f>
        <v>0</v>
      </c>
      <c r="C6257" s="5">
        <f t="shared" si="75"/>
        <v>6252</v>
      </c>
      <c r="D6257" s="11" t="s">
        <v>63</v>
      </c>
    </row>
    <row r="6258" spans="1:4" x14ac:dyDescent="0.2">
      <c r="A6258">
        <v>6253</v>
      </c>
      <c r="B6258" s="14">
        <f>'EstExp 12-20'!L27</f>
        <v>0</v>
      </c>
      <c r="C6258" s="5">
        <f t="shared" si="75"/>
        <v>6253</v>
      </c>
      <c r="D6258" s="11" t="s">
        <v>63</v>
      </c>
    </row>
    <row r="6259" spans="1:4" x14ac:dyDescent="0.2">
      <c r="A6259">
        <v>6254</v>
      </c>
      <c r="B6259" s="14">
        <f>'EstExp 12-20'!I28</f>
        <v>0</v>
      </c>
      <c r="C6259" s="5">
        <f t="shared" si="75"/>
        <v>6254</v>
      </c>
      <c r="D6259" s="11" t="s">
        <v>63</v>
      </c>
    </row>
    <row r="6260" spans="1:4" x14ac:dyDescent="0.2">
      <c r="A6260">
        <v>6255</v>
      </c>
      <c r="B6260" s="14">
        <f>'EstExp 12-20'!L28</f>
        <v>0</v>
      </c>
      <c r="C6260" s="5">
        <f t="shared" si="75"/>
        <v>6255</v>
      </c>
      <c r="D6260" s="11" t="s">
        <v>63</v>
      </c>
    </row>
    <row r="6261" spans="1:4" x14ac:dyDescent="0.2">
      <c r="A6261">
        <v>6256</v>
      </c>
      <c r="B6261" s="14">
        <f>'EstExp 12-20'!I29</f>
        <v>0</v>
      </c>
      <c r="C6261" s="5">
        <f t="shared" si="75"/>
        <v>6256</v>
      </c>
      <c r="D6261" s="11" t="s">
        <v>63</v>
      </c>
    </row>
    <row r="6262" spans="1:4" x14ac:dyDescent="0.2">
      <c r="A6262">
        <v>6257</v>
      </c>
      <c r="B6262" s="14">
        <f>'EstExp 12-20'!L29</f>
        <v>0</v>
      </c>
      <c r="C6262" s="5">
        <f t="shared" si="75"/>
        <v>6257</v>
      </c>
      <c r="D6262" s="11" t="s">
        <v>63</v>
      </c>
    </row>
    <row r="6263" spans="1:4" x14ac:dyDescent="0.2">
      <c r="A6263">
        <v>6258</v>
      </c>
      <c r="B6263" s="14">
        <f>'EstExp 12-20'!I30</f>
        <v>0</v>
      </c>
      <c r="C6263" s="5">
        <f t="shared" si="75"/>
        <v>6258</v>
      </c>
      <c r="D6263" s="11" t="s">
        <v>63</v>
      </c>
    </row>
    <row r="6264" spans="1:4" x14ac:dyDescent="0.2">
      <c r="A6264">
        <v>6259</v>
      </c>
      <c r="B6264" s="14">
        <f>'EstExp 12-20'!L30</f>
        <v>0</v>
      </c>
      <c r="C6264" s="5">
        <f t="shared" si="75"/>
        <v>6259</v>
      </c>
      <c r="D6264" s="11" t="s">
        <v>63</v>
      </c>
    </row>
    <row r="6265" spans="1:4" x14ac:dyDescent="0.2">
      <c r="A6265">
        <v>6260</v>
      </c>
      <c r="B6265" s="14">
        <f>'EstExp 12-20'!I31</f>
        <v>0</v>
      </c>
      <c r="C6265" s="5">
        <f t="shared" si="75"/>
        <v>6260</v>
      </c>
      <c r="D6265" s="11" t="s">
        <v>63</v>
      </c>
    </row>
    <row r="6266" spans="1:4" x14ac:dyDescent="0.2">
      <c r="A6266">
        <v>6261</v>
      </c>
      <c r="B6266" s="14">
        <f>'EstExp 12-20'!L31</f>
        <v>0</v>
      </c>
      <c r="C6266" s="5">
        <f t="shared" si="75"/>
        <v>6261</v>
      </c>
      <c r="D6266" s="11" t="s">
        <v>63</v>
      </c>
    </row>
    <row r="6267" spans="1:4" x14ac:dyDescent="0.2">
      <c r="A6267">
        <v>6262</v>
      </c>
      <c r="B6267" s="14">
        <f>'EstExp 12-20'!I32</f>
        <v>0</v>
      </c>
      <c r="C6267" s="5">
        <f t="shared" si="75"/>
        <v>6262</v>
      </c>
      <c r="D6267" s="11" t="s">
        <v>63</v>
      </c>
    </row>
    <row r="6268" spans="1:4" x14ac:dyDescent="0.2">
      <c r="A6268">
        <v>6263</v>
      </c>
      <c r="B6268" s="14">
        <f>'EstExp 12-20'!L32</f>
        <v>0</v>
      </c>
      <c r="C6268" s="5">
        <f t="shared" si="75"/>
        <v>6263</v>
      </c>
      <c r="D6268" s="11" t="s">
        <v>63</v>
      </c>
    </row>
    <row r="6269" spans="1:4" x14ac:dyDescent="0.2">
      <c r="A6269">
        <v>6264</v>
      </c>
      <c r="B6269" s="14">
        <f>'EstExp 12-20'!J34</f>
        <v>0</v>
      </c>
      <c r="C6269" s="5">
        <f t="shared" si="75"/>
        <v>6264</v>
      </c>
      <c r="D6269" s="11" t="s">
        <v>63</v>
      </c>
    </row>
    <row r="6270" spans="1:4" x14ac:dyDescent="0.2">
      <c r="A6270">
        <v>6265</v>
      </c>
      <c r="B6270" s="14">
        <f>'EstExp 12-20'!K34</f>
        <v>0</v>
      </c>
      <c r="C6270" s="5">
        <f t="shared" si="75"/>
        <v>6265</v>
      </c>
      <c r="D6270" s="11" t="s">
        <v>63</v>
      </c>
    </row>
    <row r="6271" spans="1:4" x14ac:dyDescent="0.2">
      <c r="A6271">
        <v>6266</v>
      </c>
      <c r="B6271" s="14">
        <f>'EstExp 12-20'!J38</f>
        <v>0</v>
      </c>
      <c r="C6271" s="5">
        <f t="shared" si="75"/>
        <v>6266</v>
      </c>
      <c r="D6271" s="11" t="s">
        <v>63</v>
      </c>
    </row>
    <row r="6272" spans="1:4" x14ac:dyDescent="0.2">
      <c r="A6272">
        <v>6267</v>
      </c>
      <c r="B6272" s="14">
        <f>'EstExp 12-20'!K38</f>
        <v>0</v>
      </c>
      <c r="C6272" s="5">
        <f t="shared" si="75"/>
        <v>6267</v>
      </c>
      <c r="D6272" s="11" t="s">
        <v>63</v>
      </c>
    </row>
    <row r="6273" spans="1:4" x14ac:dyDescent="0.2">
      <c r="A6273">
        <v>6268</v>
      </c>
      <c r="B6273" s="14">
        <f>'EstExp 12-20'!J39</f>
        <v>0</v>
      </c>
      <c r="C6273" s="5">
        <f t="shared" si="75"/>
        <v>6268</v>
      </c>
      <c r="D6273" s="11" t="s">
        <v>63</v>
      </c>
    </row>
    <row r="6274" spans="1:4" x14ac:dyDescent="0.2">
      <c r="A6274">
        <v>6269</v>
      </c>
      <c r="B6274" s="14">
        <f>'EstExp 12-20'!K39</f>
        <v>0</v>
      </c>
      <c r="C6274" s="5">
        <f t="shared" si="75"/>
        <v>6269</v>
      </c>
      <c r="D6274" s="11" t="s">
        <v>63</v>
      </c>
    </row>
    <row r="6275" spans="1:4" x14ac:dyDescent="0.2">
      <c r="A6275">
        <v>6270</v>
      </c>
      <c r="B6275" s="14">
        <f>'EstExp 12-20'!J40</f>
        <v>0</v>
      </c>
      <c r="C6275" s="5">
        <f t="shared" si="75"/>
        <v>6270</v>
      </c>
      <c r="D6275" s="11" t="s">
        <v>63</v>
      </c>
    </row>
    <row r="6276" spans="1:4" x14ac:dyDescent="0.2">
      <c r="A6276">
        <v>6271</v>
      </c>
      <c r="B6276" s="14">
        <f>'EstExp 12-20'!K40</f>
        <v>0</v>
      </c>
      <c r="C6276" s="5">
        <f t="shared" si="75"/>
        <v>6271</v>
      </c>
      <c r="D6276" s="11" t="s">
        <v>63</v>
      </c>
    </row>
    <row r="6277" spans="1:4" x14ac:dyDescent="0.2">
      <c r="A6277">
        <v>6272</v>
      </c>
      <c r="B6277" s="14">
        <f>'EstExp 12-20'!J41</f>
        <v>0</v>
      </c>
      <c r="C6277" s="5">
        <f t="shared" si="75"/>
        <v>6272</v>
      </c>
      <c r="D6277" s="11" t="s">
        <v>63</v>
      </c>
    </row>
    <row r="6278" spans="1:4" x14ac:dyDescent="0.2">
      <c r="A6278">
        <v>6273</v>
      </c>
      <c r="B6278" s="14">
        <f>'EstExp 12-20'!K41</f>
        <v>0</v>
      </c>
      <c r="C6278" s="5">
        <f t="shared" si="75"/>
        <v>6273</v>
      </c>
      <c r="D6278" s="11" t="s">
        <v>63</v>
      </c>
    </row>
    <row r="6279" spans="1:4" x14ac:dyDescent="0.2">
      <c r="A6279">
        <v>6274</v>
      </c>
      <c r="B6279" s="14">
        <f>'EstExp 12-20'!J42</f>
        <v>0</v>
      </c>
      <c r="C6279" s="5">
        <f t="shared" si="75"/>
        <v>6274</v>
      </c>
      <c r="D6279" s="11" t="s">
        <v>63</v>
      </c>
    </row>
    <row r="6280" spans="1:4" x14ac:dyDescent="0.2">
      <c r="A6280">
        <v>6275</v>
      </c>
      <c r="B6280" s="14">
        <f>'EstExp 12-20'!K42</f>
        <v>0</v>
      </c>
      <c r="C6280" s="5">
        <f t="shared" ref="C6280:C6343" si="76">A6280-B6280</f>
        <v>6275</v>
      </c>
      <c r="D6280" s="11" t="s">
        <v>63</v>
      </c>
    </row>
    <row r="6281" spans="1:4" x14ac:dyDescent="0.2">
      <c r="A6281">
        <v>6276</v>
      </c>
      <c r="B6281" s="14">
        <f>'EstExp 12-20'!J43</f>
        <v>0</v>
      </c>
      <c r="C6281" s="5">
        <f t="shared" si="76"/>
        <v>6276</v>
      </c>
      <c r="D6281" s="11" t="s">
        <v>63</v>
      </c>
    </row>
    <row r="6282" spans="1:4" x14ac:dyDescent="0.2">
      <c r="A6282">
        <v>6277</v>
      </c>
      <c r="B6282" s="14">
        <f>'EstExp 12-20'!K43</f>
        <v>0</v>
      </c>
      <c r="C6282" s="5">
        <f t="shared" si="76"/>
        <v>6277</v>
      </c>
      <c r="D6282" s="11" t="s">
        <v>63</v>
      </c>
    </row>
    <row r="6283" spans="1:4" x14ac:dyDescent="0.2">
      <c r="A6283">
        <v>6278</v>
      </c>
      <c r="B6283" s="14">
        <f>'EstExp 12-20'!J44</f>
        <v>0</v>
      </c>
      <c r="C6283" s="5">
        <f t="shared" si="76"/>
        <v>6278</v>
      </c>
      <c r="D6283" s="11" t="s">
        <v>63</v>
      </c>
    </row>
    <row r="6284" spans="1:4" x14ac:dyDescent="0.2">
      <c r="A6284">
        <v>6279</v>
      </c>
      <c r="B6284" s="14">
        <f>'EstExp 12-20'!K44</f>
        <v>0</v>
      </c>
      <c r="C6284" s="5">
        <f t="shared" si="76"/>
        <v>6279</v>
      </c>
      <c r="D6284" s="11" t="s">
        <v>63</v>
      </c>
    </row>
    <row r="6285" spans="1:4" x14ac:dyDescent="0.2">
      <c r="A6285">
        <v>6280</v>
      </c>
      <c r="B6285" s="14">
        <f>'EstExp 12-20'!J46</f>
        <v>0</v>
      </c>
      <c r="C6285" s="5">
        <f t="shared" si="76"/>
        <v>6280</v>
      </c>
      <c r="D6285" s="11" t="s">
        <v>63</v>
      </c>
    </row>
    <row r="6286" spans="1:4" x14ac:dyDescent="0.2">
      <c r="A6286">
        <v>6281</v>
      </c>
      <c r="B6286" s="14">
        <f>'EstExp 12-20'!K46</f>
        <v>0</v>
      </c>
      <c r="C6286" s="5">
        <f t="shared" si="76"/>
        <v>6281</v>
      </c>
      <c r="D6286" s="11" t="s">
        <v>63</v>
      </c>
    </row>
    <row r="6287" spans="1:4" x14ac:dyDescent="0.2">
      <c r="A6287">
        <v>6282</v>
      </c>
      <c r="B6287" s="14">
        <f>'EstExp 12-20'!J47</f>
        <v>0</v>
      </c>
      <c r="C6287" s="5">
        <f t="shared" si="76"/>
        <v>6282</v>
      </c>
      <c r="D6287" s="11" t="s">
        <v>63</v>
      </c>
    </row>
    <row r="6288" spans="1:4" x14ac:dyDescent="0.2">
      <c r="A6288">
        <v>6283</v>
      </c>
      <c r="B6288" s="14">
        <f>'EstExp 12-20'!K47</f>
        <v>0</v>
      </c>
      <c r="C6288" s="5">
        <f t="shared" si="76"/>
        <v>6283</v>
      </c>
      <c r="D6288" s="11" t="s">
        <v>63</v>
      </c>
    </row>
    <row r="6289" spans="1:4" x14ac:dyDescent="0.2">
      <c r="A6289">
        <v>6284</v>
      </c>
      <c r="B6289" s="14">
        <f>'EstExp 12-20'!J48</f>
        <v>0</v>
      </c>
      <c r="C6289" s="5">
        <f t="shared" si="76"/>
        <v>6284</v>
      </c>
      <c r="D6289" s="11" t="s">
        <v>63</v>
      </c>
    </row>
    <row r="6290" spans="1:4" x14ac:dyDescent="0.2">
      <c r="A6290">
        <v>6285</v>
      </c>
      <c r="B6290" s="14">
        <f>'EstExp 12-20'!K48</f>
        <v>0</v>
      </c>
      <c r="C6290" s="5">
        <f t="shared" si="76"/>
        <v>6285</v>
      </c>
      <c r="D6290" s="11" t="s">
        <v>63</v>
      </c>
    </row>
    <row r="6291" spans="1:4" x14ac:dyDescent="0.2">
      <c r="A6291">
        <v>6286</v>
      </c>
      <c r="B6291" s="14">
        <f>'EstExp 12-20'!J49</f>
        <v>0</v>
      </c>
      <c r="C6291" s="5">
        <f t="shared" si="76"/>
        <v>6286</v>
      </c>
      <c r="D6291" s="11" t="s">
        <v>63</v>
      </c>
    </row>
    <row r="6292" spans="1:4" x14ac:dyDescent="0.2">
      <c r="A6292">
        <v>6287</v>
      </c>
      <c r="B6292" s="14">
        <f>'EstExp 12-20'!K49</f>
        <v>0</v>
      </c>
      <c r="C6292" s="5">
        <f t="shared" si="76"/>
        <v>6287</v>
      </c>
      <c r="D6292" s="11" t="s">
        <v>63</v>
      </c>
    </row>
    <row r="6293" spans="1:4" x14ac:dyDescent="0.2">
      <c r="A6293">
        <v>6288</v>
      </c>
      <c r="B6293" s="14">
        <f>'EstExp 12-20'!J51</f>
        <v>0</v>
      </c>
      <c r="C6293" s="5">
        <f t="shared" si="76"/>
        <v>6288</v>
      </c>
      <c r="D6293" s="11" t="s">
        <v>63</v>
      </c>
    </row>
    <row r="6294" spans="1:4" x14ac:dyDescent="0.2">
      <c r="A6294">
        <v>6289</v>
      </c>
      <c r="B6294" s="14">
        <f>'EstExp 12-20'!K51</f>
        <v>0</v>
      </c>
      <c r="C6294" s="5">
        <f t="shared" si="76"/>
        <v>6289</v>
      </c>
      <c r="D6294" s="11" t="s">
        <v>63</v>
      </c>
    </row>
    <row r="6295" spans="1:4" x14ac:dyDescent="0.2">
      <c r="A6295">
        <v>6290</v>
      </c>
      <c r="B6295" s="14">
        <f>'EstExp 12-20'!J52</f>
        <v>0</v>
      </c>
      <c r="C6295" s="5">
        <f t="shared" si="76"/>
        <v>6290</v>
      </c>
      <c r="D6295" s="11" t="s">
        <v>63</v>
      </c>
    </row>
    <row r="6296" spans="1:4" x14ac:dyDescent="0.2">
      <c r="A6296">
        <v>6291</v>
      </c>
      <c r="B6296" s="14">
        <f>'EstExp 12-20'!K52</f>
        <v>0</v>
      </c>
      <c r="C6296" s="5">
        <f t="shared" si="76"/>
        <v>6291</v>
      </c>
      <c r="D6296" s="11" t="s">
        <v>63</v>
      </c>
    </row>
    <row r="6297" spans="1:4" x14ac:dyDescent="0.2">
      <c r="A6297">
        <v>6292</v>
      </c>
      <c r="B6297" s="14">
        <f>'EstExp 12-20'!J53</f>
        <v>0</v>
      </c>
      <c r="C6297" s="5">
        <f t="shared" si="76"/>
        <v>6292</v>
      </c>
      <c r="D6297" s="11" t="s">
        <v>63</v>
      </c>
    </row>
    <row r="6298" spans="1:4" x14ac:dyDescent="0.2">
      <c r="A6298">
        <v>6293</v>
      </c>
      <c r="B6298" s="14">
        <f>'EstExp 12-20'!K53</f>
        <v>0</v>
      </c>
      <c r="C6298" s="5">
        <f t="shared" si="76"/>
        <v>6293</v>
      </c>
      <c r="D6298" s="11" t="s">
        <v>63</v>
      </c>
    </row>
    <row r="6299" spans="1:4" x14ac:dyDescent="0.2">
      <c r="A6299">
        <v>6294</v>
      </c>
      <c r="B6299" s="14">
        <f>'EstExp 12-20'!J55</f>
        <v>0</v>
      </c>
      <c r="C6299" s="5">
        <f t="shared" si="76"/>
        <v>6294</v>
      </c>
      <c r="D6299" s="11" t="s">
        <v>63</v>
      </c>
    </row>
    <row r="6300" spans="1:4" x14ac:dyDescent="0.2">
      <c r="A6300">
        <v>6295</v>
      </c>
      <c r="B6300" s="14">
        <f>'EstExp 12-20'!K55</f>
        <v>0</v>
      </c>
      <c r="C6300" s="5">
        <f t="shared" si="76"/>
        <v>6295</v>
      </c>
      <c r="D6300" s="11" t="s">
        <v>63</v>
      </c>
    </row>
    <row r="6301" spans="1:4" x14ac:dyDescent="0.2">
      <c r="A6301">
        <v>6296</v>
      </c>
      <c r="B6301" s="14">
        <f>'EstExp 12-20'!J57</f>
        <v>0</v>
      </c>
      <c r="C6301" s="5">
        <f t="shared" si="76"/>
        <v>6296</v>
      </c>
      <c r="D6301" s="11" t="s">
        <v>63</v>
      </c>
    </row>
    <row r="6302" spans="1:4" x14ac:dyDescent="0.2">
      <c r="A6302">
        <v>6297</v>
      </c>
      <c r="B6302" s="14">
        <f>'EstExp 12-20'!K57</f>
        <v>0</v>
      </c>
      <c r="C6302" s="5">
        <f t="shared" si="76"/>
        <v>6297</v>
      </c>
      <c r="D6302" s="11" t="s">
        <v>63</v>
      </c>
    </row>
    <row r="6303" spans="1:4" x14ac:dyDescent="0.2">
      <c r="A6303">
        <v>6298</v>
      </c>
      <c r="B6303" s="14">
        <f>'EstExp 12-20'!J58</f>
        <v>0</v>
      </c>
      <c r="C6303" s="5">
        <f t="shared" si="76"/>
        <v>6298</v>
      </c>
      <c r="D6303" s="11" t="s">
        <v>63</v>
      </c>
    </row>
    <row r="6304" spans="1:4" x14ac:dyDescent="0.2">
      <c r="A6304">
        <v>6299</v>
      </c>
      <c r="B6304" s="14">
        <f>'EstExp 12-20'!K58</f>
        <v>0</v>
      </c>
      <c r="C6304" s="5">
        <f t="shared" si="76"/>
        <v>6299</v>
      </c>
      <c r="D6304" s="11" t="s">
        <v>63</v>
      </c>
    </row>
    <row r="6305" spans="1:4" x14ac:dyDescent="0.2">
      <c r="A6305">
        <v>6300</v>
      </c>
      <c r="B6305" s="14">
        <f>'EstExp 12-20'!J59</f>
        <v>0</v>
      </c>
      <c r="C6305" s="5">
        <f t="shared" si="76"/>
        <v>6300</v>
      </c>
      <c r="D6305" s="11" t="s">
        <v>63</v>
      </c>
    </row>
    <row r="6306" spans="1:4" x14ac:dyDescent="0.2">
      <c r="A6306">
        <v>6301</v>
      </c>
      <c r="B6306" s="14">
        <f>'EstExp 12-20'!K59</f>
        <v>0</v>
      </c>
      <c r="C6306" s="5">
        <f t="shared" si="76"/>
        <v>6301</v>
      </c>
      <c r="D6306" s="11" t="s">
        <v>63</v>
      </c>
    </row>
    <row r="6307" spans="1:4" x14ac:dyDescent="0.2">
      <c r="A6307">
        <v>6302</v>
      </c>
      <c r="B6307" s="14">
        <f>'EstExp 12-20'!J61</f>
        <v>0</v>
      </c>
      <c r="C6307" s="5">
        <f t="shared" si="76"/>
        <v>6302</v>
      </c>
      <c r="D6307" s="11" t="s">
        <v>63</v>
      </c>
    </row>
    <row r="6308" spans="1:4" x14ac:dyDescent="0.2">
      <c r="A6308">
        <v>6303</v>
      </c>
      <c r="B6308" s="14">
        <f>'EstExp 12-20'!K61</f>
        <v>0</v>
      </c>
      <c r="C6308" s="5">
        <f t="shared" si="76"/>
        <v>6303</v>
      </c>
      <c r="D6308" s="11" t="s">
        <v>63</v>
      </c>
    </row>
    <row r="6309" spans="1:4" x14ac:dyDescent="0.2">
      <c r="A6309">
        <v>6304</v>
      </c>
      <c r="B6309" s="14">
        <f>'EstExp 12-20'!J62</f>
        <v>0</v>
      </c>
      <c r="C6309" s="5">
        <f t="shared" si="76"/>
        <v>6304</v>
      </c>
      <c r="D6309" s="11" t="s">
        <v>63</v>
      </c>
    </row>
    <row r="6310" spans="1:4" x14ac:dyDescent="0.2">
      <c r="A6310">
        <v>6305</v>
      </c>
      <c r="B6310" s="14">
        <f>'EstExp 12-20'!K62</f>
        <v>0</v>
      </c>
      <c r="C6310" s="5">
        <f t="shared" si="76"/>
        <v>6305</v>
      </c>
      <c r="D6310" s="11" t="s">
        <v>63</v>
      </c>
    </row>
    <row r="6311" spans="1:4" x14ac:dyDescent="0.2">
      <c r="A6311">
        <v>6306</v>
      </c>
      <c r="B6311" s="14">
        <f>'EstExp 12-20'!J63</f>
        <v>0</v>
      </c>
      <c r="C6311" s="5">
        <f t="shared" si="76"/>
        <v>6306</v>
      </c>
      <c r="D6311" s="11" t="s">
        <v>63</v>
      </c>
    </row>
    <row r="6312" spans="1:4" x14ac:dyDescent="0.2">
      <c r="A6312">
        <v>6307</v>
      </c>
      <c r="B6312" s="14">
        <f>'EstExp 12-20'!K63</f>
        <v>0</v>
      </c>
      <c r="C6312" s="5">
        <f t="shared" si="76"/>
        <v>6307</v>
      </c>
      <c r="D6312" s="11" t="s">
        <v>63</v>
      </c>
    </row>
    <row r="6313" spans="1:4" x14ac:dyDescent="0.2">
      <c r="A6313">
        <v>6308</v>
      </c>
      <c r="B6313" s="14">
        <f>'EstExp 12-20'!J64</f>
        <v>0</v>
      </c>
      <c r="C6313" s="5">
        <f t="shared" si="76"/>
        <v>6308</v>
      </c>
      <c r="D6313" s="11" t="s">
        <v>63</v>
      </c>
    </row>
    <row r="6314" spans="1:4" x14ac:dyDescent="0.2">
      <c r="A6314">
        <v>6309</v>
      </c>
      <c r="B6314" s="14">
        <f>'EstExp 12-20'!K64</f>
        <v>0</v>
      </c>
      <c r="C6314" s="5">
        <f t="shared" si="76"/>
        <v>6309</v>
      </c>
      <c r="D6314" s="11" t="s">
        <v>63</v>
      </c>
    </row>
    <row r="6315" spans="1:4" x14ac:dyDescent="0.2">
      <c r="A6315">
        <v>6310</v>
      </c>
      <c r="B6315" s="14">
        <f>'EstExp 12-20'!J65</f>
        <v>0</v>
      </c>
      <c r="C6315" s="5">
        <f t="shared" si="76"/>
        <v>6310</v>
      </c>
      <c r="D6315" s="11" t="s">
        <v>63</v>
      </c>
    </row>
    <row r="6316" spans="1:4" x14ac:dyDescent="0.2">
      <c r="A6316">
        <v>6311</v>
      </c>
      <c r="B6316" s="14">
        <f>'EstExp 12-20'!K65</f>
        <v>0</v>
      </c>
      <c r="C6316" s="5">
        <f t="shared" si="76"/>
        <v>6311</v>
      </c>
      <c r="D6316" s="11" t="s">
        <v>63</v>
      </c>
    </row>
    <row r="6317" spans="1:4" x14ac:dyDescent="0.2">
      <c r="A6317">
        <v>6312</v>
      </c>
      <c r="B6317" s="14">
        <f>'EstExp 12-20'!J66</f>
        <v>0</v>
      </c>
      <c r="C6317" s="5">
        <f t="shared" si="76"/>
        <v>6312</v>
      </c>
      <c r="D6317" s="11" t="s">
        <v>63</v>
      </c>
    </row>
    <row r="6318" spans="1:4" x14ac:dyDescent="0.2">
      <c r="A6318">
        <v>6313</v>
      </c>
      <c r="B6318" s="14">
        <f>'EstExp 12-20'!K66</f>
        <v>0</v>
      </c>
      <c r="C6318" s="5">
        <f t="shared" si="76"/>
        <v>6313</v>
      </c>
      <c r="D6318" s="11" t="s">
        <v>63</v>
      </c>
    </row>
    <row r="6319" spans="1:4" x14ac:dyDescent="0.2">
      <c r="A6319">
        <v>6314</v>
      </c>
      <c r="B6319" s="14">
        <f>'EstExp 12-20'!J67</f>
        <v>0</v>
      </c>
      <c r="C6319" s="5">
        <f t="shared" si="76"/>
        <v>6314</v>
      </c>
      <c r="D6319" s="11" t="s">
        <v>63</v>
      </c>
    </row>
    <row r="6320" spans="1:4" x14ac:dyDescent="0.2">
      <c r="A6320">
        <v>6315</v>
      </c>
      <c r="B6320" s="14">
        <f>'EstExp 12-20'!K67</f>
        <v>0</v>
      </c>
      <c r="C6320" s="5">
        <f t="shared" si="76"/>
        <v>6315</v>
      </c>
      <c r="D6320" s="11" t="s">
        <v>63</v>
      </c>
    </row>
    <row r="6321" spans="1:4" x14ac:dyDescent="0.2">
      <c r="A6321">
        <v>6316</v>
      </c>
      <c r="B6321" s="14">
        <f>'EstExp 12-20'!J69</f>
        <v>0</v>
      </c>
      <c r="C6321" s="5">
        <f t="shared" si="76"/>
        <v>6316</v>
      </c>
      <c r="D6321" s="11" t="s">
        <v>63</v>
      </c>
    </row>
    <row r="6322" spans="1:4" x14ac:dyDescent="0.2">
      <c r="A6322">
        <v>6317</v>
      </c>
      <c r="B6322" s="14">
        <f>'EstExp 12-20'!K69</f>
        <v>0</v>
      </c>
      <c r="C6322" s="5">
        <f t="shared" si="76"/>
        <v>6317</v>
      </c>
      <c r="D6322" s="11" t="s">
        <v>63</v>
      </c>
    </row>
    <row r="6323" spans="1:4" x14ac:dyDescent="0.2">
      <c r="A6323">
        <v>6318</v>
      </c>
      <c r="B6323" s="14">
        <f>'EstExp 12-20'!J70</f>
        <v>0</v>
      </c>
      <c r="C6323" s="5">
        <f t="shared" si="76"/>
        <v>6318</v>
      </c>
      <c r="D6323" s="11" t="s">
        <v>63</v>
      </c>
    </row>
    <row r="6324" spans="1:4" x14ac:dyDescent="0.2">
      <c r="A6324">
        <v>6319</v>
      </c>
      <c r="B6324" s="14">
        <f>'EstExp 12-20'!K70</f>
        <v>0</v>
      </c>
      <c r="C6324" s="5">
        <f t="shared" si="76"/>
        <v>6319</v>
      </c>
      <c r="D6324" s="11" t="s">
        <v>63</v>
      </c>
    </row>
    <row r="6325" spans="1:4" x14ac:dyDescent="0.2">
      <c r="A6325">
        <v>6320</v>
      </c>
      <c r="B6325" s="14">
        <f>'EstExp 12-20'!J71</f>
        <v>0</v>
      </c>
      <c r="C6325" s="5">
        <f t="shared" si="76"/>
        <v>6320</v>
      </c>
      <c r="D6325" s="11" t="s">
        <v>63</v>
      </c>
    </row>
    <row r="6326" spans="1:4" x14ac:dyDescent="0.2">
      <c r="A6326">
        <v>6321</v>
      </c>
      <c r="B6326" s="14">
        <f>'EstExp 12-20'!K71</f>
        <v>0</v>
      </c>
      <c r="C6326" s="5">
        <f t="shared" si="76"/>
        <v>6321</v>
      </c>
      <c r="D6326" s="11" t="s">
        <v>63</v>
      </c>
    </row>
    <row r="6327" spans="1:4" x14ac:dyDescent="0.2">
      <c r="A6327">
        <v>6322</v>
      </c>
      <c r="B6327" s="14">
        <f>'EstExp 12-20'!J72</f>
        <v>0</v>
      </c>
      <c r="C6327" s="5">
        <f t="shared" si="76"/>
        <v>6322</v>
      </c>
      <c r="D6327" s="11" t="s">
        <v>63</v>
      </c>
    </row>
    <row r="6328" spans="1:4" x14ac:dyDescent="0.2">
      <c r="A6328">
        <v>6323</v>
      </c>
      <c r="B6328" s="14">
        <f>'EstExp 12-20'!K72</f>
        <v>0</v>
      </c>
      <c r="C6328" s="5">
        <f t="shared" si="76"/>
        <v>6323</v>
      </c>
      <c r="D6328" s="11" t="s">
        <v>63</v>
      </c>
    </row>
    <row r="6329" spans="1:4" x14ac:dyDescent="0.2">
      <c r="A6329">
        <v>6324</v>
      </c>
      <c r="B6329" s="14">
        <f>'EstExp 12-20'!J73</f>
        <v>0</v>
      </c>
      <c r="C6329" s="5">
        <f t="shared" si="76"/>
        <v>6324</v>
      </c>
      <c r="D6329" s="11" t="s">
        <v>63</v>
      </c>
    </row>
    <row r="6330" spans="1:4" x14ac:dyDescent="0.2">
      <c r="A6330">
        <v>6325</v>
      </c>
      <c r="B6330" s="14">
        <f>'EstExp 12-20'!K73</f>
        <v>0</v>
      </c>
      <c r="C6330" s="5">
        <f t="shared" si="76"/>
        <v>6325</v>
      </c>
      <c r="D6330" s="11" t="s">
        <v>63</v>
      </c>
    </row>
    <row r="6331" spans="1:4" x14ac:dyDescent="0.2">
      <c r="A6331">
        <v>6326</v>
      </c>
      <c r="B6331" s="14">
        <f>'EstExp 12-20'!J74</f>
        <v>0</v>
      </c>
      <c r="C6331" s="5">
        <f t="shared" si="76"/>
        <v>6326</v>
      </c>
      <c r="D6331" s="11" t="s">
        <v>63</v>
      </c>
    </row>
    <row r="6332" spans="1:4" x14ac:dyDescent="0.2">
      <c r="A6332">
        <v>6327</v>
      </c>
      <c r="B6332" s="14">
        <f>'EstExp 12-20'!K74</f>
        <v>0</v>
      </c>
      <c r="C6332" s="5">
        <f t="shared" si="76"/>
        <v>6327</v>
      </c>
      <c r="D6332" s="11" t="s">
        <v>63</v>
      </c>
    </row>
    <row r="6333" spans="1:4" x14ac:dyDescent="0.2">
      <c r="A6333">
        <v>6328</v>
      </c>
      <c r="B6333" s="14">
        <f>'EstExp 12-20'!J75</f>
        <v>0</v>
      </c>
      <c r="C6333" s="5">
        <f t="shared" si="76"/>
        <v>6328</v>
      </c>
      <c r="D6333" s="11" t="s">
        <v>63</v>
      </c>
    </row>
    <row r="6334" spans="1:4" x14ac:dyDescent="0.2">
      <c r="A6334">
        <v>6329</v>
      </c>
      <c r="B6334" s="14">
        <f>'EstExp 12-20'!K75</f>
        <v>0</v>
      </c>
      <c r="C6334" s="5">
        <f t="shared" si="76"/>
        <v>6329</v>
      </c>
      <c r="D6334" s="11" t="s">
        <v>63</v>
      </c>
    </row>
    <row r="6335" spans="1:4" x14ac:dyDescent="0.2">
      <c r="A6335">
        <v>6330</v>
      </c>
      <c r="B6335" s="14">
        <f>'EstExp 12-20'!J76</f>
        <v>0</v>
      </c>
      <c r="C6335" s="5">
        <f t="shared" si="76"/>
        <v>6330</v>
      </c>
      <c r="D6335" s="11" t="s">
        <v>63</v>
      </c>
    </row>
    <row r="6336" spans="1:4" x14ac:dyDescent="0.2">
      <c r="A6336">
        <v>6331</v>
      </c>
      <c r="B6336" s="14">
        <f>'EstExp 12-20'!K76</f>
        <v>0</v>
      </c>
      <c r="C6336" s="5">
        <f t="shared" si="76"/>
        <v>6331</v>
      </c>
      <c r="D6336" s="11" t="s">
        <v>63</v>
      </c>
    </row>
    <row r="6337" spans="1:4" x14ac:dyDescent="0.2">
      <c r="A6337">
        <v>6332</v>
      </c>
      <c r="B6337" s="14">
        <f>'EstExp 12-20'!J77</f>
        <v>0</v>
      </c>
      <c r="C6337" s="5">
        <f t="shared" si="76"/>
        <v>6332</v>
      </c>
      <c r="D6337" s="11" t="s">
        <v>63</v>
      </c>
    </row>
    <row r="6338" spans="1:4" x14ac:dyDescent="0.2">
      <c r="A6338">
        <v>6333</v>
      </c>
      <c r="B6338" s="14">
        <f>'EstExp 12-20'!K77</f>
        <v>0</v>
      </c>
      <c r="C6338" s="5">
        <f t="shared" si="76"/>
        <v>6333</v>
      </c>
      <c r="D6338" s="11" t="s">
        <v>63</v>
      </c>
    </row>
    <row r="6339" spans="1:4" x14ac:dyDescent="0.2">
      <c r="A6339">
        <v>6334</v>
      </c>
      <c r="B6339" s="14">
        <f>'EstExp 12-20'!I87</f>
        <v>0</v>
      </c>
      <c r="C6339" s="5">
        <f t="shared" si="76"/>
        <v>6334</v>
      </c>
      <c r="D6339" s="11" t="s">
        <v>63</v>
      </c>
    </row>
    <row r="6340" spans="1:4" x14ac:dyDescent="0.2">
      <c r="A6340">
        <v>6335</v>
      </c>
      <c r="B6340" s="14">
        <f>'EstExp 12-20'!L87</f>
        <v>0</v>
      </c>
      <c r="C6340" s="5">
        <f t="shared" si="76"/>
        <v>6335</v>
      </c>
      <c r="D6340" s="11" t="s">
        <v>63</v>
      </c>
    </row>
    <row r="6341" spans="1:4" x14ac:dyDescent="0.2">
      <c r="A6341">
        <v>6336</v>
      </c>
      <c r="B6341" s="14">
        <f>'EstExp 12-20'!I88</f>
        <v>0</v>
      </c>
      <c r="C6341" s="5">
        <f t="shared" si="76"/>
        <v>6336</v>
      </c>
      <c r="D6341" s="11" t="s">
        <v>63</v>
      </c>
    </row>
    <row r="6342" spans="1:4" x14ac:dyDescent="0.2">
      <c r="A6342">
        <v>6337</v>
      </c>
      <c r="B6342" s="14">
        <f>'EstExp 12-20'!L88</f>
        <v>0</v>
      </c>
      <c r="C6342" s="5">
        <f t="shared" si="76"/>
        <v>6337</v>
      </c>
      <c r="D6342" s="11" t="s">
        <v>63</v>
      </c>
    </row>
    <row r="6343" spans="1:4" x14ac:dyDescent="0.2">
      <c r="A6343">
        <v>6338</v>
      </c>
      <c r="B6343" s="14">
        <f>'EstExp 12-20'!I89</f>
        <v>0</v>
      </c>
      <c r="C6343" s="5">
        <f t="shared" si="76"/>
        <v>6338</v>
      </c>
      <c r="D6343" s="11" t="s">
        <v>63</v>
      </c>
    </row>
    <row r="6344" spans="1:4" x14ac:dyDescent="0.2">
      <c r="A6344">
        <v>6339</v>
      </c>
      <c r="B6344" s="14">
        <f>'EstExp 12-20'!L89</f>
        <v>0</v>
      </c>
      <c r="C6344" s="5">
        <f t="shared" ref="C6344:C6407" si="77">A6344-B6344</f>
        <v>6339</v>
      </c>
      <c r="D6344" s="11" t="s">
        <v>63</v>
      </c>
    </row>
    <row r="6345" spans="1:4" x14ac:dyDescent="0.2">
      <c r="A6345">
        <v>6340</v>
      </c>
      <c r="B6345" s="14">
        <f>'EstExp 12-20'!I90</f>
        <v>0</v>
      </c>
      <c r="C6345" s="5">
        <f t="shared" si="77"/>
        <v>6340</v>
      </c>
      <c r="D6345" s="11" t="s">
        <v>63</v>
      </c>
    </row>
    <row r="6346" spans="1:4" x14ac:dyDescent="0.2">
      <c r="A6346">
        <v>6341</v>
      </c>
      <c r="B6346" s="14">
        <f>'EstExp 12-20'!L90</f>
        <v>0</v>
      </c>
      <c r="C6346" s="5">
        <f t="shared" si="77"/>
        <v>6341</v>
      </c>
      <c r="D6346" s="11" t="s">
        <v>63</v>
      </c>
    </row>
    <row r="6347" spans="1:4" x14ac:dyDescent="0.2">
      <c r="A6347">
        <v>6342</v>
      </c>
      <c r="B6347" s="14">
        <f>'EstExp 12-20'!I91</f>
        <v>0</v>
      </c>
      <c r="C6347" s="5">
        <f t="shared" si="77"/>
        <v>6342</v>
      </c>
      <c r="D6347" s="11" t="s">
        <v>63</v>
      </c>
    </row>
    <row r="6348" spans="1:4" x14ac:dyDescent="0.2">
      <c r="A6348">
        <v>6343</v>
      </c>
      <c r="B6348" s="14">
        <f>'EstExp 12-20'!L91</f>
        <v>0</v>
      </c>
      <c r="C6348" s="5">
        <f t="shared" si="77"/>
        <v>6343</v>
      </c>
      <c r="D6348" s="11" t="s">
        <v>63</v>
      </c>
    </row>
    <row r="6349" spans="1:4" x14ac:dyDescent="0.2">
      <c r="A6349">
        <v>6344</v>
      </c>
      <c r="B6349" s="14">
        <f>'EstExp 12-20'!I92</f>
        <v>0</v>
      </c>
      <c r="C6349" s="5">
        <f t="shared" si="77"/>
        <v>6344</v>
      </c>
      <c r="D6349" s="11" t="s">
        <v>63</v>
      </c>
    </row>
    <row r="6350" spans="1:4" x14ac:dyDescent="0.2">
      <c r="A6350">
        <v>6345</v>
      </c>
      <c r="B6350" s="14">
        <f>'EstExp 12-20'!L92</f>
        <v>0</v>
      </c>
      <c r="C6350" s="5">
        <f t="shared" si="77"/>
        <v>6345</v>
      </c>
      <c r="D6350" s="11" t="s">
        <v>63</v>
      </c>
    </row>
    <row r="6351" spans="1:4" x14ac:dyDescent="0.2">
      <c r="A6351">
        <v>6346</v>
      </c>
      <c r="B6351" s="14">
        <f>'EstExp 12-20'!I93</f>
        <v>0</v>
      </c>
      <c r="C6351" s="5">
        <f t="shared" si="77"/>
        <v>6346</v>
      </c>
      <c r="D6351" s="11" t="s">
        <v>63</v>
      </c>
    </row>
    <row r="6352" spans="1:4" x14ac:dyDescent="0.2">
      <c r="A6352">
        <v>6347</v>
      </c>
      <c r="B6352" s="14">
        <f>'EstExp 12-20'!L93</f>
        <v>0</v>
      </c>
      <c r="C6352" s="5">
        <f t="shared" si="77"/>
        <v>6347</v>
      </c>
      <c r="D6352" s="11" t="s">
        <v>63</v>
      </c>
    </row>
    <row r="6353" spans="1:4" x14ac:dyDescent="0.2">
      <c r="A6353">
        <v>6348</v>
      </c>
      <c r="B6353" s="14">
        <f>'EstExp 12-20'!I95</f>
        <v>0</v>
      </c>
      <c r="C6353" s="5">
        <f t="shared" si="77"/>
        <v>6348</v>
      </c>
      <c r="D6353" s="11" t="s">
        <v>63</v>
      </c>
    </row>
    <row r="6354" spans="1:4" x14ac:dyDescent="0.2">
      <c r="A6354">
        <v>6349</v>
      </c>
      <c r="B6354" s="14">
        <f>'EstExp 12-20'!L95</f>
        <v>0</v>
      </c>
      <c r="C6354" s="5">
        <f t="shared" si="77"/>
        <v>6349</v>
      </c>
      <c r="D6354" s="11" t="s">
        <v>63</v>
      </c>
    </row>
    <row r="6355" spans="1:4" x14ac:dyDescent="0.2">
      <c r="A6355">
        <v>6350</v>
      </c>
      <c r="B6355" s="14">
        <f>'EstExp 12-20'!I96</f>
        <v>0</v>
      </c>
      <c r="C6355" s="5">
        <f t="shared" si="77"/>
        <v>6350</v>
      </c>
      <c r="D6355" s="11" t="s">
        <v>63</v>
      </c>
    </row>
    <row r="6356" spans="1:4" x14ac:dyDescent="0.2">
      <c r="A6356">
        <v>6351</v>
      </c>
      <c r="B6356" s="14">
        <f>'EstExp 12-20'!L96</f>
        <v>0</v>
      </c>
      <c r="C6356" s="5">
        <f t="shared" si="77"/>
        <v>6351</v>
      </c>
      <c r="D6356" s="11" t="s">
        <v>63</v>
      </c>
    </row>
    <row r="6357" spans="1:4" x14ac:dyDescent="0.2">
      <c r="A6357">
        <v>6352</v>
      </c>
      <c r="B6357" s="14">
        <f>'EstExp 12-20'!I97</f>
        <v>0</v>
      </c>
      <c r="C6357" s="5">
        <f t="shared" si="77"/>
        <v>6352</v>
      </c>
      <c r="D6357" s="11" t="s">
        <v>63</v>
      </c>
    </row>
    <row r="6358" spans="1:4" x14ac:dyDescent="0.2">
      <c r="A6358">
        <v>6353</v>
      </c>
      <c r="B6358" s="14">
        <f>'EstExp 12-20'!L97</f>
        <v>0</v>
      </c>
      <c r="C6358" s="5">
        <f t="shared" si="77"/>
        <v>6353</v>
      </c>
      <c r="D6358" s="11" t="s">
        <v>63</v>
      </c>
    </row>
    <row r="6359" spans="1:4" x14ac:dyDescent="0.2">
      <c r="A6359">
        <v>6354</v>
      </c>
      <c r="B6359" s="14">
        <f>'EstExp 12-20'!I98</f>
        <v>0</v>
      </c>
      <c r="C6359" s="5">
        <f t="shared" si="77"/>
        <v>6354</v>
      </c>
      <c r="D6359" s="11" t="s">
        <v>63</v>
      </c>
    </row>
    <row r="6360" spans="1:4" x14ac:dyDescent="0.2">
      <c r="A6360">
        <v>6355</v>
      </c>
      <c r="B6360" s="14">
        <f>'EstExp 12-20'!L98</f>
        <v>0</v>
      </c>
      <c r="C6360" s="5">
        <f t="shared" si="77"/>
        <v>6355</v>
      </c>
      <c r="D6360" s="11" t="s">
        <v>63</v>
      </c>
    </row>
    <row r="6361" spans="1:4" x14ac:dyDescent="0.2">
      <c r="A6361">
        <v>6356</v>
      </c>
      <c r="B6361" s="14">
        <f>'EstExp 12-20'!I99</f>
        <v>0</v>
      </c>
      <c r="C6361" s="5">
        <f t="shared" si="77"/>
        <v>6356</v>
      </c>
      <c r="D6361" s="11" t="s">
        <v>63</v>
      </c>
    </row>
    <row r="6362" spans="1:4" x14ac:dyDescent="0.2">
      <c r="A6362">
        <v>6357</v>
      </c>
      <c r="B6362" s="14">
        <f>'EstExp 12-20'!L99</f>
        <v>0</v>
      </c>
      <c r="C6362" s="5">
        <f t="shared" si="77"/>
        <v>6357</v>
      </c>
      <c r="D6362" s="11" t="s">
        <v>63</v>
      </c>
    </row>
    <row r="6363" spans="1:4" x14ac:dyDescent="0.2">
      <c r="A6363">
        <v>6358</v>
      </c>
      <c r="B6363" s="14">
        <f>'EstExp 12-20'!I100</f>
        <v>0</v>
      </c>
      <c r="C6363" s="5">
        <f t="shared" si="77"/>
        <v>6358</v>
      </c>
      <c r="D6363" s="11" t="s">
        <v>63</v>
      </c>
    </row>
    <row r="6364" spans="1:4" x14ac:dyDescent="0.2">
      <c r="A6364">
        <v>6359</v>
      </c>
      <c r="B6364" s="14">
        <f>'EstExp 12-20'!L100</f>
        <v>0</v>
      </c>
      <c r="C6364" s="5">
        <f t="shared" si="77"/>
        <v>6359</v>
      </c>
      <c r="D6364" s="11" t="s">
        <v>63</v>
      </c>
    </row>
    <row r="6365" spans="1:4" x14ac:dyDescent="0.2">
      <c r="A6365">
        <v>6360</v>
      </c>
      <c r="B6365" s="14">
        <f>'EstExp 12-20'!F101</f>
        <v>0</v>
      </c>
      <c r="C6365" s="5">
        <f t="shared" si="77"/>
        <v>6360</v>
      </c>
      <c r="D6365" s="11" t="s">
        <v>63</v>
      </c>
    </row>
    <row r="6366" spans="1:4" x14ac:dyDescent="0.2">
      <c r="A6366">
        <v>6361</v>
      </c>
      <c r="B6366" s="14">
        <f>'EstExp 12-20'!I101</f>
        <v>0</v>
      </c>
      <c r="C6366" s="5">
        <f t="shared" si="77"/>
        <v>6361</v>
      </c>
      <c r="D6366" s="11" t="s">
        <v>63</v>
      </c>
    </row>
    <row r="6367" spans="1:4" x14ac:dyDescent="0.2">
      <c r="A6367">
        <v>6362</v>
      </c>
      <c r="B6367" s="14">
        <f>'EstExp 12-20'!L101</f>
        <v>0</v>
      </c>
      <c r="C6367" s="5">
        <f t="shared" si="77"/>
        <v>6362</v>
      </c>
      <c r="D6367" s="11" t="s">
        <v>63</v>
      </c>
    </row>
    <row r="6368" spans="1:4" x14ac:dyDescent="0.2">
      <c r="A6368">
        <v>6363</v>
      </c>
      <c r="B6368" s="14">
        <f>'EstExp 12-20'!I103</f>
        <v>0</v>
      </c>
      <c r="C6368" s="5">
        <f t="shared" si="77"/>
        <v>6363</v>
      </c>
      <c r="D6368" s="11" t="s">
        <v>63</v>
      </c>
    </row>
    <row r="6369" spans="1:4" x14ac:dyDescent="0.2">
      <c r="A6369">
        <v>6364</v>
      </c>
      <c r="B6369" s="14">
        <f>'EstExp 12-20'!J116</f>
        <v>0</v>
      </c>
      <c r="C6369" s="5">
        <f t="shared" si="77"/>
        <v>6364</v>
      </c>
      <c r="D6369" s="11" t="s">
        <v>63</v>
      </c>
    </row>
    <row r="6370" spans="1:4" x14ac:dyDescent="0.2">
      <c r="A6370">
        <v>6365</v>
      </c>
      <c r="B6370" s="14">
        <f>'EstExp 12-20'!K116</f>
        <v>0</v>
      </c>
      <c r="C6370" s="5">
        <f t="shared" si="77"/>
        <v>6365</v>
      </c>
      <c r="D6370" s="11" t="s">
        <v>63</v>
      </c>
    </row>
    <row r="6371" spans="1:4" x14ac:dyDescent="0.2">
      <c r="A6371" s="4">
        <v>6366</v>
      </c>
      <c r="B6371" s="14">
        <f>'EstExp 12-20'!J124</f>
        <v>0</v>
      </c>
      <c r="C6371" s="5">
        <f t="shared" si="77"/>
        <v>6366</v>
      </c>
      <c r="D6371" s="11" t="s">
        <v>63</v>
      </c>
    </row>
    <row r="6372" spans="1:4" x14ac:dyDescent="0.2">
      <c r="A6372" s="4">
        <v>6367</v>
      </c>
      <c r="B6372" s="14">
        <f>'EstExp 12-20'!K124</f>
        <v>0</v>
      </c>
      <c r="C6372" s="5">
        <f t="shared" si="77"/>
        <v>6367</v>
      </c>
      <c r="D6372" s="11" t="s">
        <v>63</v>
      </c>
    </row>
    <row r="6373" spans="1:4" x14ac:dyDescent="0.2">
      <c r="A6373" s="4">
        <v>6368</v>
      </c>
      <c r="B6373" s="14">
        <f>'EstExp 12-20'!J126</f>
        <v>0</v>
      </c>
      <c r="C6373" s="5">
        <f t="shared" si="77"/>
        <v>6368</v>
      </c>
      <c r="D6373" s="11" t="s">
        <v>63</v>
      </c>
    </row>
    <row r="6374" spans="1:4" x14ac:dyDescent="0.2">
      <c r="A6374" s="4">
        <v>6369</v>
      </c>
      <c r="B6374" s="14">
        <f>'EstExp 12-20'!K126</f>
        <v>0</v>
      </c>
      <c r="C6374" s="5">
        <f t="shared" si="77"/>
        <v>6369</v>
      </c>
      <c r="D6374" s="11" t="s">
        <v>63</v>
      </c>
    </row>
    <row r="6375" spans="1:4" x14ac:dyDescent="0.2">
      <c r="A6375">
        <v>6370</v>
      </c>
      <c r="B6375" s="14">
        <f>'EstExp 12-20'!J127</f>
        <v>0</v>
      </c>
      <c r="C6375" s="5">
        <f t="shared" si="77"/>
        <v>6370</v>
      </c>
      <c r="D6375" s="11" t="s">
        <v>63</v>
      </c>
    </row>
    <row r="6376" spans="1:4" x14ac:dyDescent="0.2">
      <c r="A6376">
        <v>6371</v>
      </c>
      <c r="B6376" s="14">
        <f>'EstExp 12-20'!K127</f>
        <v>0</v>
      </c>
      <c r="C6376" s="5">
        <f t="shared" si="77"/>
        <v>6371</v>
      </c>
      <c r="D6376" s="11" t="s">
        <v>63</v>
      </c>
    </row>
    <row r="6377" spans="1:4" x14ac:dyDescent="0.2">
      <c r="A6377">
        <v>6372</v>
      </c>
      <c r="B6377" s="14">
        <f>'EstExp 12-20'!J128</f>
        <v>0</v>
      </c>
      <c r="C6377" s="5">
        <f t="shared" si="77"/>
        <v>6372</v>
      </c>
      <c r="D6377" s="11" t="s">
        <v>63</v>
      </c>
    </row>
    <row r="6378" spans="1:4" x14ac:dyDescent="0.2">
      <c r="A6378">
        <v>6373</v>
      </c>
      <c r="B6378" s="14">
        <f>'EstExp 12-20'!K128</f>
        <v>0</v>
      </c>
      <c r="C6378" s="5">
        <f t="shared" si="77"/>
        <v>6373</v>
      </c>
      <c r="D6378" s="11" t="s">
        <v>63</v>
      </c>
    </row>
    <row r="6379" spans="1:4" x14ac:dyDescent="0.2">
      <c r="A6379">
        <v>6374</v>
      </c>
      <c r="B6379" s="14">
        <f>'EstExp 12-20'!J129</f>
        <v>0</v>
      </c>
      <c r="C6379" s="5">
        <f t="shared" si="77"/>
        <v>6374</v>
      </c>
      <c r="D6379" s="11" t="s">
        <v>63</v>
      </c>
    </row>
    <row r="6380" spans="1:4" x14ac:dyDescent="0.2">
      <c r="A6380">
        <v>6375</v>
      </c>
      <c r="B6380" s="14">
        <f>'EstExp 12-20'!K129</f>
        <v>0</v>
      </c>
      <c r="C6380" s="5">
        <f t="shared" si="77"/>
        <v>6375</v>
      </c>
      <c r="D6380" s="11" t="s">
        <v>63</v>
      </c>
    </row>
    <row r="6381" spans="1:4" x14ac:dyDescent="0.2">
      <c r="A6381">
        <v>6376</v>
      </c>
      <c r="B6381" s="14">
        <f>'EstExp 12-20'!J130</f>
        <v>0</v>
      </c>
      <c r="C6381" s="5">
        <f t="shared" si="77"/>
        <v>6376</v>
      </c>
      <c r="D6381" s="11" t="s">
        <v>63</v>
      </c>
    </row>
    <row r="6382" spans="1:4" x14ac:dyDescent="0.2">
      <c r="A6382">
        <v>6377</v>
      </c>
      <c r="B6382" s="14">
        <f>'EstExp 12-20'!J131</f>
        <v>0</v>
      </c>
      <c r="C6382" s="5">
        <f t="shared" si="77"/>
        <v>6377</v>
      </c>
      <c r="D6382" s="11" t="s">
        <v>63</v>
      </c>
    </row>
    <row r="6383" spans="1:4" x14ac:dyDescent="0.2">
      <c r="A6383">
        <v>6378</v>
      </c>
      <c r="B6383" s="14">
        <f>'EstExp 12-20'!K131</f>
        <v>0</v>
      </c>
      <c r="C6383" s="5">
        <f t="shared" si="77"/>
        <v>6378</v>
      </c>
      <c r="D6383" s="11" t="s">
        <v>63</v>
      </c>
    </row>
    <row r="6384" spans="1:4" x14ac:dyDescent="0.2">
      <c r="A6384">
        <v>6379</v>
      </c>
      <c r="B6384" s="14">
        <f>'EstExp 12-20'!J132</f>
        <v>0</v>
      </c>
      <c r="C6384" s="5">
        <f t="shared" si="77"/>
        <v>6379</v>
      </c>
      <c r="D6384" s="11" t="s">
        <v>63</v>
      </c>
    </row>
    <row r="6385" spans="1:4" x14ac:dyDescent="0.2">
      <c r="A6385">
        <v>6380</v>
      </c>
      <c r="B6385" s="14">
        <f>'EstExp 12-20'!K132</f>
        <v>0</v>
      </c>
      <c r="C6385" s="5">
        <f t="shared" si="77"/>
        <v>6380</v>
      </c>
      <c r="D6385" s="11" t="s">
        <v>63</v>
      </c>
    </row>
    <row r="6386" spans="1:4" x14ac:dyDescent="0.2">
      <c r="A6386">
        <v>6381</v>
      </c>
      <c r="B6386" s="14">
        <f>'EstExp 12-20'!J133</f>
        <v>0</v>
      </c>
      <c r="C6386" s="5">
        <f t="shared" si="77"/>
        <v>6381</v>
      </c>
      <c r="D6386" s="11" t="s">
        <v>63</v>
      </c>
    </row>
    <row r="6387" spans="1:4" x14ac:dyDescent="0.2">
      <c r="A6387">
        <v>6382</v>
      </c>
      <c r="B6387" s="14">
        <f>'EstExp 12-20'!K133</f>
        <v>0</v>
      </c>
      <c r="C6387" s="5">
        <f t="shared" si="77"/>
        <v>6382</v>
      </c>
      <c r="D6387" s="11" t="s">
        <v>63</v>
      </c>
    </row>
    <row r="6388" spans="1:4" x14ac:dyDescent="0.2">
      <c r="A6388">
        <v>6383</v>
      </c>
      <c r="B6388" s="14">
        <f>'EstExp 12-20'!J134</f>
        <v>0</v>
      </c>
      <c r="C6388" s="5">
        <f t="shared" si="77"/>
        <v>6383</v>
      </c>
      <c r="D6388" s="11" t="s">
        <v>63</v>
      </c>
    </row>
    <row r="6389" spans="1:4" x14ac:dyDescent="0.2">
      <c r="A6389">
        <v>6384</v>
      </c>
      <c r="B6389" s="14">
        <f>'EstExp 12-20'!K134</f>
        <v>0</v>
      </c>
      <c r="C6389" s="5">
        <f t="shared" si="77"/>
        <v>6384</v>
      </c>
      <c r="D6389" s="11" t="s">
        <v>63</v>
      </c>
    </row>
    <row r="6390" spans="1:4" x14ac:dyDescent="0.2">
      <c r="A6390">
        <v>6385</v>
      </c>
      <c r="B6390" s="14">
        <f>'EstExp 12-20'!J155</f>
        <v>0</v>
      </c>
      <c r="C6390" s="5">
        <f t="shared" si="77"/>
        <v>6385</v>
      </c>
      <c r="D6390" s="11" t="s">
        <v>63</v>
      </c>
    </row>
    <row r="6391" spans="1:4" x14ac:dyDescent="0.2">
      <c r="A6391">
        <v>6386</v>
      </c>
      <c r="B6391" s="14">
        <f>'EstExp 12-20'!K155</f>
        <v>0</v>
      </c>
      <c r="C6391" s="5">
        <f t="shared" si="77"/>
        <v>6386</v>
      </c>
      <c r="D6391" s="11" t="s">
        <v>63</v>
      </c>
    </row>
    <row r="6392" spans="1:4" x14ac:dyDescent="0.2">
      <c r="A6392" s="3">
        <v>6387</v>
      </c>
      <c r="D6392" s="11" t="s">
        <v>63</v>
      </c>
    </row>
    <row r="6393" spans="1:4" x14ac:dyDescent="0.2">
      <c r="A6393" s="3">
        <v>6388</v>
      </c>
      <c r="D6393" s="11" t="s">
        <v>164</v>
      </c>
    </row>
    <row r="6394" spans="1:4" x14ac:dyDescent="0.2">
      <c r="A6394" s="3">
        <v>6389</v>
      </c>
      <c r="D6394" s="11" t="s">
        <v>164</v>
      </c>
    </row>
    <row r="6395" spans="1:4" x14ac:dyDescent="0.2">
      <c r="A6395" s="3">
        <v>6390</v>
      </c>
      <c r="D6395" s="11" t="s">
        <v>164</v>
      </c>
    </row>
    <row r="6396" spans="1:4" x14ac:dyDescent="0.2">
      <c r="A6396">
        <v>6391</v>
      </c>
      <c r="B6396" s="14">
        <f>'EstExp 12-20'!J184</f>
        <v>0</v>
      </c>
      <c r="C6396" s="5">
        <f t="shared" si="77"/>
        <v>6391</v>
      </c>
      <c r="D6396" s="11" t="s">
        <v>63</v>
      </c>
    </row>
    <row r="6397" spans="1:4" x14ac:dyDescent="0.2">
      <c r="A6397">
        <v>6392</v>
      </c>
      <c r="B6397" s="14">
        <f>'EstExp 12-20'!K184</f>
        <v>0</v>
      </c>
      <c r="C6397" s="5">
        <f t="shared" si="77"/>
        <v>6392</v>
      </c>
      <c r="D6397" s="11" t="s">
        <v>63</v>
      </c>
    </row>
    <row r="6398" spans="1:4" x14ac:dyDescent="0.2">
      <c r="A6398">
        <v>6393</v>
      </c>
      <c r="B6398" s="14">
        <f>'EstExp 12-20'!J186</f>
        <v>0</v>
      </c>
      <c r="C6398" s="5">
        <f t="shared" si="77"/>
        <v>6393</v>
      </c>
      <c r="D6398" s="11" t="s">
        <v>63</v>
      </c>
    </row>
    <row r="6399" spans="1:4" x14ac:dyDescent="0.2">
      <c r="A6399">
        <v>6394</v>
      </c>
      <c r="B6399" s="14">
        <f>'EstExp 12-20'!K186</f>
        <v>0</v>
      </c>
      <c r="C6399" s="5">
        <f t="shared" si="77"/>
        <v>6394</v>
      </c>
      <c r="D6399" s="11" t="s">
        <v>63</v>
      </c>
    </row>
    <row r="6400" spans="1:4" x14ac:dyDescent="0.2">
      <c r="A6400">
        <v>6395</v>
      </c>
      <c r="B6400" s="14">
        <f>'EstExp 12-20'!J187</f>
        <v>0</v>
      </c>
      <c r="C6400" s="5">
        <f t="shared" si="77"/>
        <v>6395</v>
      </c>
      <c r="D6400" s="11" t="s">
        <v>63</v>
      </c>
    </row>
    <row r="6401" spans="1:4" x14ac:dyDescent="0.2">
      <c r="A6401">
        <v>6396</v>
      </c>
      <c r="B6401" s="14">
        <f>'EstExp 12-20'!K187</f>
        <v>0</v>
      </c>
      <c r="C6401" s="5">
        <f t="shared" si="77"/>
        <v>6396</v>
      </c>
      <c r="D6401" s="11" t="s">
        <v>63</v>
      </c>
    </row>
    <row r="6402" spans="1:4" x14ac:dyDescent="0.2">
      <c r="A6402">
        <v>6397</v>
      </c>
      <c r="B6402" s="14">
        <f>'EstExp 12-20'!J188</f>
        <v>0</v>
      </c>
      <c r="C6402" s="5">
        <f t="shared" si="77"/>
        <v>6397</v>
      </c>
      <c r="D6402" s="11" t="s">
        <v>63</v>
      </c>
    </row>
    <row r="6403" spans="1:4" x14ac:dyDescent="0.2">
      <c r="A6403">
        <v>6398</v>
      </c>
      <c r="B6403" s="14">
        <f>'EstExp 12-20'!K188</f>
        <v>0</v>
      </c>
      <c r="C6403" s="5">
        <f t="shared" si="77"/>
        <v>6398</v>
      </c>
      <c r="D6403" s="11" t="s">
        <v>63</v>
      </c>
    </row>
    <row r="6404" spans="1:4" x14ac:dyDescent="0.2">
      <c r="A6404">
        <v>6399</v>
      </c>
      <c r="B6404" s="14">
        <f>'EstExp 12-20'!J189</f>
        <v>0</v>
      </c>
      <c r="C6404" s="5">
        <f t="shared" si="77"/>
        <v>6399</v>
      </c>
      <c r="D6404" s="11" t="s">
        <v>63</v>
      </c>
    </row>
    <row r="6405" spans="1:4" x14ac:dyDescent="0.2">
      <c r="A6405">
        <v>6400</v>
      </c>
      <c r="B6405" s="14">
        <f>'EstExp 12-20'!K189</f>
        <v>0</v>
      </c>
      <c r="C6405" s="5">
        <f t="shared" si="77"/>
        <v>6400</v>
      </c>
      <c r="D6405" s="11" t="s">
        <v>63</v>
      </c>
    </row>
    <row r="6406" spans="1:4" x14ac:dyDescent="0.2">
      <c r="A6406">
        <v>6401</v>
      </c>
      <c r="B6406" s="14">
        <f>'EstExp 12-20'!J214</f>
        <v>0</v>
      </c>
      <c r="C6406" s="5">
        <f t="shared" si="77"/>
        <v>6401</v>
      </c>
      <c r="D6406" s="11" t="s">
        <v>63</v>
      </c>
    </row>
    <row r="6407" spans="1:4" x14ac:dyDescent="0.2">
      <c r="A6407">
        <v>6402</v>
      </c>
      <c r="B6407" s="14">
        <f>'EstExp 12-20'!K214</f>
        <v>0</v>
      </c>
      <c r="C6407" s="5">
        <f t="shared" si="77"/>
        <v>6402</v>
      </c>
      <c r="D6407" s="11" t="s">
        <v>63</v>
      </c>
    </row>
    <row r="6408" spans="1:4" x14ac:dyDescent="0.2">
      <c r="A6408">
        <v>6403</v>
      </c>
      <c r="B6408" s="14">
        <f>'EstExp 12-20'!E220</f>
        <v>0</v>
      </c>
      <c r="C6408" s="5">
        <f t="shared" ref="C6408:C6471" si="78">A6408-B6408</f>
        <v>6403</v>
      </c>
      <c r="D6408" s="11" t="s">
        <v>63</v>
      </c>
    </row>
    <row r="6409" spans="1:4" x14ac:dyDescent="0.2">
      <c r="A6409">
        <v>6404</v>
      </c>
      <c r="B6409" s="14">
        <f>'EstExp 12-20'!L220</f>
        <v>0</v>
      </c>
      <c r="C6409" s="5">
        <f t="shared" si="78"/>
        <v>6404</v>
      </c>
      <c r="D6409" s="11" t="s">
        <v>63</v>
      </c>
    </row>
    <row r="6410" spans="1:4" x14ac:dyDescent="0.2">
      <c r="A6410">
        <v>6405</v>
      </c>
      <c r="B6410" s="14">
        <f>'EstExp 12-20'!E222</f>
        <v>0</v>
      </c>
      <c r="C6410" s="5">
        <f t="shared" si="78"/>
        <v>6405</v>
      </c>
      <c r="D6410" s="11" t="s">
        <v>63</v>
      </c>
    </row>
    <row r="6411" spans="1:4" x14ac:dyDescent="0.2">
      <c r="A6411">
        <v>6406</v>
      </c>
      <c r="B6411" s="14">
        <f>'EstExp 12-20'!L222</f>
        <v>0</v>
      </c>
      <c r="C6411" s="5">
        <f t="shared" si="78"/>
        <v>6406</v>
      </c>
      <c r="D6411" s="11" t="s">
        <v>63</v>
      </c>
    </row>
    <row r="6412" spans="1:4" x14ac:dyDescent="0.2">
      <c r="A6412">
        <v>6407</v>
      </c>
      <c r="B6412" s="14">
        <f>'EstExp 12-20'!E224</f>
        <v>0</v>
      </c>
      <c r="C6412" s="5">
        <f t="shared" si="78"/>
        <v>6407</v>
      </c>
      <c r="D6412" s="11" t="s">
        <v>63</v>
      </c>
    </row>
    <row r="6413" spans="1:4" x14ac:dyDescent="0.2">
      <c r="A6413">
        <v>6408</v>
      </c>
      <c r="B6413" s="14">
        <f>'EstExp 12-20'!L224</f>
        <v>0</v>
      </c>
      <c r="C6413" s="5">
        <f t="shared" si="78"/>
        <v>6408</v>
      </c>
      <c r="D6413" s="11" t="s">
        <v>63</v>
      </c>
    </row>
    <row r="6414" spans="1:4" x14ac:dyDescent="0.2">
      <c r="A6414">
        <v>6409</v>
      </c>
      <c r="B6414" s="14">
        <f>'EstExp 12-20'!E230</f>
        <v>0</v>
      </c>
      <c r="C6414" s="5">
        <f t="shared" si="78"/>
        <v>6409</v>
      </c>
      <c r="D6414" s="11" t="s">
        <v>63</v>
      </c>
    </row>
    <row r="6415" spans="1:4" x14ac:dyDescent="0.2">
      <c r="A6415">
        <v>6410</v>
      </c>
      <c r="B6415" s="14">
        <f>'EstExp 12-20'!L230</f>
        <v>0</v>
      </c>
      <c r="C6415" s="5">
        <f t="shared" si="78"/>
        <v>6410</v>
      </c>
      <c r="D6415" s="11" t="s">
        <v>63</v>
      </c>
    </row>
    <row r="6416" spans="1:4" x14ac:dyDescent="0.2">
      <c r="A6416" s="3">
        <v>6411</v>
      </c>
      <c r="D6416" s="11" t="s">
        <v>63</v>
      </c>
    </row>
    <row r="6417" spans="1:5" x14ac:dyDescent="0.2">
      <c r="A6417" s="3">
        <v>6412</v>
      </c>
      <c r="D6417" s="11" t="s">
        <v>63</v>
      </c>
    </row>
    <row r="6418" spans="1:5" x14ac:dyDescent="0.2">
      <c r="A6418">
        <v>6413</v>
      </c>
      <c r="B6418" s="14">
        <f>'EstExp 12-20'!E252</f>
        <v>0</v>
      </c>
      <c r="C6418" s="5">
        <f t="shared" si="78"/>
        <v>6413</v>
      </c>
      <c r="D6418" s="11" t="s">
        <v>63</v>
      </c>
    </row>
    <row r="6419" spans="1:5" x14ac:dyDescent="0.2">
      <c r="A6419">
        <v>6414</v>
      </c>
      <c r="B6419" s="14">
        <f>'EstExp 12-20'!L252</f>
        <v>0</v>
      </c>
      <c r="C6419" s="5">
        <f t="shared" si="78"/>
        <v>6414</v>
      </c>
      <c r="D6419" s="11" t="s">
        <v>63</v>
      </c>
    </row>
    <row r="6420" spans="1:5" x14ac:dyDescent="0.2">
      <c r="A6420" s="3">
        <v>6415</v>
      </c>
      <c r="D6420" s="5" t="s">
        <v>63</v>
      </c>
      <c r="E6420" s="5" t="s">
        <v>3073</v>
      </c>
    </row>
    <row r="6421" spans="1:5" x14ac:dyDescent="0.2">
      <c r="A6421" s="3">
        <v>6416</v>
      </c>
      <c r="D6421" s="5" t="s">
        <v>63</v>
      </c>
      <c r="E6421" s="5" t="s">
        <v>3073</v>
      </c>
    </row>
    <row r="6422" spans="1:5" x14ac:dyDescent="0.2">
      <c r="A6422" s="3">
        <v>6417</v>
      </c>
      <c r="D6422" s="5" t="s">
        <v>63</v>
      </c>
      <c r="E6422" s="5" t="s">
        <v>3073</v>
      </c>
    </row>
    <row r="6423" spans="1:5" x14ac:dyDescent="0.2">
      <c r="A6423" s="3">
        <v>6418</v>
      </c>
      <c r="D6423" s="5" t="s">
        <v>63</v>
      </c>
      <c r="E6423" s="5" t="s">
        <v>3073</v>
      </c>
    </row>
    <row r="6424" spans="1:5" x14ac:dyDescent="0.2">
      <c r="A6424" s="3">
        <v>6419</v>
      </c>
      <c r="D6424" s="5" t="s">
        <v>63</v>
      </c>
      <c r="E6424" s="5" t="s">
        <v>3073</v>
      </c>
    </row>
    <row r="6425" spans="1:5" x14ac:dyDescent="0.2">
      <c r="A6425" s="3">
        <v>6420</v>
      </c>
      <c r="D6425" s="5" t="s">
        <v>63</v>
      </c>
      <c r="E6425" s="5" t="s">
        <v>3073</v>
      </c>
    </row>
    <row r="6426" spans="1:5" x14ac:dyDescent="0.2">
      <c r="A6426">
        <v>6421</v>
      </c>
      <c r="B6426" s="14">
        <f>'EstExp 12-20'!E253</f>
        <v>0</v>
      </c>
      <c r="C6426" s="5">
        <f t="shared" si="78"/>
        <v>6421</v>
      </c>
      <c r="D6426" s="5" t="s">
        <v>63</v>
      </c>
    </row>
    <row r="6427" spans="1:5" x14ac:dyDescent="0.2">
      <c r="A6427">
        <v>6422</v>
      </c>
      <c r="B6427" s="14">
        <f>'EstExp 12-20'!L253</f>
        <v>0</v>
      </c>
      <c r="C6427" s="5">
        <f t="shared" si="78"/>
        <v>6422</v>
      </c>
      <c r="D6427" s="5" t="s">
        <v>63</v>
      </c>
    </row>
    <row r="6428" spans="1:5" x14ac:dyDescent="0.2">
      <c r="A6428" s="3">
        <v>6423</v>
      </c>
      <c r="D6428" s="5" t="s">
        <v>63</v>
      </c>
      <c r="E6428" s="5" t="s">
        <v>3073</v>
      </c>
    </row>
    <row r="6429" spans="1:5" x14ac:dyDescent="0.2">
      <c r="A6429" s="3">
        <v>6424</v>
      </c>
      <c r="D6429" s="5" t="s">
        <v>63</v>
      </c>
      <c r="E6429" s="5" t="s">
        <v>3073</v>
      </c>
    </row>
    <row r="6430" spans="1:5" x14ac:dyDescent="0.2">
      <c r="A6430" s="3">
        <v>6425</v>
      </c>
      <c r="D6430" s="5" t="s">
        <v>63</v>
      </c>
      <c r="E6430" s="5" t="s">
        <v>3073</v>
      </c>
    </row>
    <row r="6431" spans="1:5" x14ac:dyDescent="0.2">
      <c r="A6431" s="3">
        <v>6426</v>
      </c>
      <c r="D6431" s="5" t="s">
        <v>63</v>
      </c>
      <c r="E6431" s="5" t="s">
        <v>3073</v>
      </c>
    </row>
    <row r="6432" spans="1:5" x14ac:dyDescent="0.2">
      <c r="A6432" s="3">
        <v>6427</v>
      </c>
      <c r="D6432" s="5" t="s">
        <v>63</v>
      </c>
      <c r="E6432" s="5" t="s">
        <v>3073</v>
      </c>
    </row>
    <row r="6433" spans="1:5" x14ac:dyDescent="0.2">
      <c r="A6433" s="3">
        <v>6428</v>
      </c>
      <c r="D6433" s="5" t="s">
        <v>63</v>
      </c>
      <c r="E6433" s="5" t="s">
        <v>3073</v>
      </c>
    </row>
    <row r="6434" spans="1:5" x14ac:dyDescent="0.2">
      <c r="A6434" s="3">
        <v>6429</v>
      </c>
      <c r="D6434" s="5" t="s">
        <v>63</v>
      </c>
      <c r="E6434" s="5" t="s">
        <v>3073</v>
      </c>
    </row>
    <row r="6435" spans="1:5" x14ac:dyDescent="0.2">
      <c r="A6435" s="3">
        <v>6430</v>
      </c>
      <c r="D6435" s="5" t="s">
        <v>63</v>
      </c>
      <c r="E6435" s="5" t="s">
        <v>3073</v>
      </c>
    </row>
    <row r="6436" spans="1:5" x14ac:dyDescent="0.2">
      <c r="A6436" s="4">
        <v>6431</v>
      </c>
      <c r="B6436" s="15">
        <f>'EstExp 12-20'!I94</f>
        <v>0</v>
      </c>
      <c r="C6436" s="5">
        <f t="shared" si="78"/>
        <v>6431</v>
      </c>
      <c r="D6436" s="11" t="s">
        <v>745</v>
      </c>
    </row>
    <row r="6437" spans="1:5" x14ac:dyDescent="0.2">
      <c r="A6437" s="4">
        <v>6432</v>
      </c>
      <c r="B6437" s="15">
        <f>'EstExp 12-20'!F102</f>
        <v>0</v>
      </c>
      <c r="C6437" s="5">
        <f t="shared" si="78"/>
        <v>6432</v>
      </c>
      <c r="D6437" s="11" t="s">
        <v>745</v>
      </c>
    </row>
    <row r="6438" spans="1:5" x14ac:dyDescent="0.2">
      <c r="A6438" s="3">
        <v>6433</v>
      </c>
      <c r="B6438" s="15">
        <f>'EstExp 12-20'!I102</f>
        <v>0</v>
      </c>
      <c r="C6438" s="5">
        <f t="shared" si="78"/>
        <v>6433</v>
      </c>
      <c r="D6438" s="11" t="s">
        <v>164</v>
      </c>
    </row>
    <row r="6439" spans="1:5" x14ac:dyDescent="0.2">
      <c r="A6439" s="4">
        <v>6434</v>
      </c>
      <c r="B6439" s="15">
        <f>'EstRev 6-11'!K110</f>
        <v>0</v>
      </c>
      <c r="C6439" s="5">
        <f t="shared" si="78"/>
        <v>6434</v>
      </c>
      <c r="D6439" s="11" t="s">
        <v>798</v>
      </c>
    </row>
    <row r="6440" spans="1:5" x14ac:dyDescent="0.2">
      <c r="A6440" s="3">
        <v>6435</v>
      </c>
      <c r="D6440" s="11" t="s">
        <v>164</v>
      </c>
    </row>
    <row r="6441" spans="1:5" x14ac:dyDescent="0.2">
      <c r="A6441" s="3">
        <v>6436</v>
      </c>
      <c r="D6441" s="11" t="s">
        <v>164</v>
      </c>
    </row>
    <row r="6442" spans="1:5" x14ac:dyDescent="0.2">
      <c r="A6442" s="3">
        <v>6437</v>
      </c>
      <c r="D6442" s="11" t="s">
        <v>164</v>
      </c>
    </row>
    <row r="6443" spans="1:5" x14ac:dyDescent="0.2">
      <c r="A6443" s="3">
        <v>6438</v>
      </c>
      <c r="D6443" s="11" t="s">
        <v>164</v>
      </c>
    </row>
    <row r="6444" spans="1:5" x14ac:dyDescent="0.2">
      <c r="A6444" s="3">
        <v>6439</v>
      </c>
      <c r="D6444" s="11" t="s">
        <v>164</v>
      </c>
    </row>
    <row r="6445" spans="1:5" x14ac:dyDescent="0.2">
      <c r="A6445" s="3">
        <v>6440</v>
      </c>
      <c r="D6445" s="11" t="s">
        <v>164</v>
      </c>
    </row>
    <row r="6446" spans="1:5" x14ac:dyDescent="0.2">
      <c r="A6446" s="3">
        <v>6441</v>
      </c>
      <c r="D6446" s="11" t="s">
        <v>164</v>
      </c>
    </row>
    <row r="6447" spans="1:5" x14ac:dyDescent="0.2">
      <c r="A6447" s="3">
        <v>6442</v>
      </c>
      <c r="D6447" s="11" t="s">
        <v>164</v>
      </c>
    </row>
    <row r="6448" spans="1:5" x14ac:dyDescent="0.2">
      <c r="A6448" s="3">
        <v>6443</v>
      </c>
      <c r="D6448" s="11" t="s">
        <v>164</v>
      </c>
    </row>
    <row r="6449" spans="1:4" x14ac:dyDescent="0.2">
      <c r="A6449" s="3">
        <v>6444</v>
      </c>
      <c r="D6449" s="11" t="s">
        <v>164</v>
      </c>
    </row>
    <row r="6450" spans="1:4" x14ac:dyDescent="0.2">
      <c r="A6450" s="3">
        <v>6445</v>
      </c>
      <c r="D6450" s="11" t="s">
        <v>164</v>
      </c>
    </row>
    <row r="6451" spans="1:4" x14ac:dyDescent="0.2">
      <c r="A6451" s="3">
        <v>6446</v>
      </c>
      <c r="D6451" s="11" t="s">
        <v>164</v>
      </c>
    </row>
    <row r="6452" spans="1:4" x14ac:dyDescent="0.2">
      <c r="A6452" s="3">
        <v>6447</v>
      </c>
      <c r="D6452" s="11" t="s">
        <v>164</v>
      </c>
    </row>
    <row r="6453" spans="1:4" x14ac:dyDescent="0.2">
      <c r="A6453" s="3">
        <v>6448</v>
      </c>
      <c r="D6453" s="11" t="s">
        <v>164</v>
      </c>
    </row>
    <row r="6454" spans="1:4" x14ac:dyDescent="0.2">
      <c r="A6454" s="3">
        <v>6449</v>
      </c>
      <c r="D6454" s="11" t="s">
        <v>164</v>
      </c>
    </row>
    <row r="6455" spans="1:4" x14ac:dyDescent="0.2">
      <c r="A6455" s="3">
        <v>6450</v>
      </c>
      <c r="D6455" s="11" t="s">
        <v>164</v>
      </c>
    </row>
    <row r="6456" spans="1:4" x14ac:dyDescent="0.2">
      <c r="A6456" s="3">
        <v>6451</v>
      </c>
      <c r="D6456" s="11" t="s">
        <v>164</v>
      </c>
    </row>
    <row r="6457" spans="1:4" x14ac:dyDescent="0.2">
      <c r="A6457" s="3">
        <v>6452</v>
      </c>
      <c r="D6457" s="11" t="s">
        <v>164</v>
      </c>
    </row>
    <row r="6458" spans="1:4" x14ac:dyDescent="0.2">
      <c r="A6458" s="3">
        <v>6453</v>
      </c>
      <c r="D6458" s="11" t="s">
        <v>164</v>
      </c>
    </row>
    <row r="6459" spans="1:4" x14ac:dyDescent="0.2">
      <c r="A6459" s="3">
        <v>6454</v>
      </c>
      <c r="D6459" s="11" t="s">
        <v>164</v>
      </c>
    </row>
    <row r="6460" spans="1:4" x14ac:dyDescent="0.2">
      <c r="A6460" s="3">
        <v>6455</v>
      </c>
      <c r="D6460" s="11" t="s">
        <v>164</v>
      </c>
    </row>
    <row r="6461" spans="1:4" x14ac:dyDescent="0.2">
      <c r="A6461" s="3">
        <v>6456</v>
      </c>
      <c r="D6461" s="11" t="s">
        <v>164</v>
      </c>
    </row>
    <row r="6462" spans="1:4" x14ac:dyDescent="0.2">
      <c r="A6462">
        <v>6457</v>
      </c>
      <c r="B6462" s="14">
        <f>'EstExp 12-20'!J298</f>
        <v>0</v>
      </c>
      <c r="C6462" s="5">
        <f t="shared" si="78"/>
        <v>6457</v>
      </c>
      <c r="D6462" s="11" t="s">
        <v>63</v>
      </c>
    </row>
    <row r="6463" spans="1:4" x14ac:dyDescent="0.2">
      <c r="A6463" s="648">
        <v>6458</v>
      </c>
      <c r="D6463" s="11" t="s">
        <v>63</v>
      </c>
    </row>
    <row r="6464" spans="1:4" x14ac:dyDescent="0.2">
      <c r="A6464">
        <v>6459</v>
      </c>
      <c r="B6464" s="14">
        <f>'EstExp 12-20'!J299</f>
        <v>0</v>
      </c>
      <c r="C6464" s="5">
        <f t="shared" si="78"/>
        <v>6459</v>
      </c>
      <c r="D6464" s="11" t="s">
        <v>63</v>
      </c>
    </row>
    <row r="6465" spans="1:5" x14ac:dyDescent="0.2">
      <c r="A6465" s="648">
        <v>6460</v>
      </c>
      <c r="D6465" s="11" t="s">
        <v>63</v>
      </c>
    </row>
    <row r="6466" spans="1:5" x14ac:dyDescent="0.2">
      <c r="A6466">
        <v>6461</v>
      </c>
      <c r="B6466" s="14">
        <f>'EstExp 12-20'!J300</f>
        <v>0</v>
      </c>
      <c r="C6466" s="5">
        <f t="shared" si="78"/>
        <v>6461</v>
      </c>
      <c r="D6466" s="11" t="s">
        <v>63</v>
      </c>
    </row>
    <row r="6467" spans="1:5" x14ac:dyDescent="0.2">
      <c r="A6467" s="648">
        <v>6462</v>
      </c>
      <c r="D6467" s="11" t="s">
        <v>63</v>
      </c>
    </row>
    <row r="6468" spans="1:5" x14ac:dyDescent="0.2">
      <c r="A6468">
        <v>6463</v>
      </c>
      <c r="D6468" s="11" t="s">
        <v>63</v>
      </c>
      <c r="E6468" s="5" t="s">
        <v>647</v>
      </c>
    </row>
    <row r="6469" spans="1:5" x14ac:dyDescent="0.2">
      <c r="A6469">
        <v>6464</v>
      </c>
      <c r="D6469" s="11" t="s">
        <v>63</v>
      </c>
    </row>
    <row r="6470" spans="1:5" x14ac:dyDescent="0.2">
      <c r="A6470">
        <v>6465</v>
      </c>
      <c r="D6470" s="11" t="s">
        <v>63</v>
      </c>
    </row>
    <row r="6471" spans="1:5" x14ac:dyDescent="0.2">
      <c r="A6471">
        <v>6466</v>
      </c>
      <c r="B6471" s="14">
        <f>'EstExp 12-20'!F304</f>
        <v>0</v>
      </c>
      <c r="C6471" s="5">
        <f t="shared" si="78"/>
        <v>6466</v>
      </c>
      <c r="D6471" s="11" t="s">
        <v>63</v>
      </c>
    </row>
    <row r="6472" spans="1:5" x14ac:dyDescent="0.2">
      <c r="A6472">
        <v>6467</v>
      </c>
      <c r="B6472" s="14">
        <f>'EstExp 12-20'!I304</f>
        <v>0</v>
      </c>
      <c r="C6472" s="5">
        <f t="shared" ref="C6472:C6527" si="79">A6472-B6472</f>
        <v>6467</v>
      </c>
      <c r="D6472" s="11" t="s">
        <v>63</v>
      </c>
    </row>
    <row r="6473" spans="1:5" x14ac:dyDescent="0.2">
      <c r="A6473">
        <v>6468</v>
      </c>
      <c r="B6473" s="14">
        <f>'EstExp 12-20'!F305</f>
        <v>0</v>
      </c>
      <c r="C6473" s="5">
        <f t="shared" si="79"/>
        <v>6468</v>
      </c>
      <c r="D6473" s="11" t="s">
        <v>63</v>
      </c>
    </row>
    <row r="6474" spans="1:5" x14ac:dyDescent="0.2">
      <c r="A6474">
        <v>6469</v>
      </c>
      <c r="B6474" s="14">
        <f>'EstExp 12-20'!I305</f>
        <v>0</v>
      </c>
      <c r="C6474" s="5">
        <f t="shared" si="79"/>
        <v>6469</v>
      </c>
      <c r="D6474" s="11" t="s">
        <v>63</v>
      </c>
    </row>
    <row r="6475" spans="1:5" x14ac:dyDescent="0.2">
      <c r="A6475">
        <v>6470</v>
      </c>
      <c r="B6475" s="14">
        <f>'EstExp 12-20'!F306</f>
        <v>0</v>
      </c>
      <c r="C6475" s="5">
        <f t="shared" si="79"/>
        <v>6470</v>
      </c>
      <c r="D6475" s="11" t="s">
        <v>63</v>
      </c>
    </row>
    <row r="6476" spans="1:5" x14ac:dyDescent="0.2">
      <c r="A6476">
        <v>6471</v>
      </c>
      <c r="B6476" s="14">
        <f>'EstExp 12-20'!I306</f>
        <v>0</v>
      </c>
      <c r="C6476" s="5">
        <f t="shared" si="79"/>
        <v>6471</v>
      </c>
      <c r="D6476" s="11" t="s">
        <v>63</v>
      </c>
    </row>
    <row r="6477" spans="1:5" x14ac:dyDescent="0.2">
      <c r="A6477" s="3">
        <v>6472</v>
      </c>
      <c r="D6477" s="11" t="s">
        <v>299</v>
      </c>
    </row>
    <row r="6478" spans="1:5" x14ac:dyDescent="0.2">
      <c r="A6478" s="3">
        <v>6473</v>
      </c>
      <c r="D6478" s="11" t="s">
        <v>299</v>
      </c>
    </row>
    <row r="6479" spans="1:5" x14ac:dyDescent="0.2">
      <c r="A6479">
        <v>6474</v>
      </c>
      <c r="B6479" s="14">
        <f>'EstExp 12-20'!F307</f>
        <v>0</v>
      </c>
      <c r="C6479" s="5">
        <f t="shared" si="79"/>
        <v>6474</v>
      </c>
      <c r="D6479" s="11" t="s">
        <v>63</v>
      </c>
    </row>
    <row r="6480" spans="1:5" x14ac:dyDescent="0.2">
      <c r="A6480">
        <v>6475</v>
      </c>
      <c r="B6480" s="14">
        <f>'EstExp 12-20'!I307</f>
        <v>0</v>
      </c>
      <c r="C6480" s="5">
        <f t="shared" si="79"/>
        <v>6475</v>
      </c>
      <c r="D6480" s="11" t="s">
        <v>63</v>
      </c>
    </row>
    <row r="6481" spans="1:4" x14ac:dyDescent="0.2">
      <c r="A6481">
        <v>6476</v>
      </c>
      <c r="B6481" s="14">
        <f>'EstExp 12-20'!J309</f>
        <v>0</v>
      </c>
      <c r="C6481" s="5">
        <f t="shared" si="79"/>
        <v>6476</v>
      </c>
      <c r="D6481" s="11" t="s">
        <v>63</v>
      </c>
    </row>
    <row r="6482" spans="1:4" x14ac:dyDescent="0.2">
      <c r="A6482" s="648">
        <v>6477</v>
      </c>
      <c r="D6482" s="11" t="s">
        <v>63</v>
      </c>
    </row>
    <row r="6483" spans="1:4" x14ac:dyDescent="0.2">
      <c r="A6483">
        <v>6478</v>
      </c>
      <c r="B6483" s="14">
        <f>'EstExp 12-20'!D363</f>
        <v>0</v>
      </c>
      <c r="C6483" s="5">
        <f t="shared" si="79"/>
        <v>6478</v>
      </c>
      <c r="D6483" s="11" t="s">
        <v>63</v>
      </c>
    </row>
    <row r="6484" spans="1:4" x14ac:dyDescent="0.2">
      <c r="A6484">
        <v>6479</v>
      </c>
      <c r="B6484" s="14">
        <f>'EstExp 12-20'!E363</f>
        <v>0</v>
      </c>
      <c r="C6484" s="5">
        <f t="shared" si="79"/>
        <v>6479</v>
      </c>
      <c r="D6484" s="11" t="s">
        <v>63</v>
      </c>
    </row>
    <row r="6485" spans="1:4" x14ac:dyDescent="0.2">
      <c r="A6485">
        <v>6480</v>
      </c>
      <c r="B6485" s="14">
        <f>'EstExp 12-20'!F363</f>
        <v>0</v>
      </c>
      <c r="C6485" s="5">
        <f t="shared" si="79"/>
        <v>6480</v>
      </c>
      <c r="D6485" s="11" t="s">
        <v>63</v>
      </c>
    </row>
    <row r="6486" spans="1:4" x14ac:dyDescent="0.2">
      <c r="A6486">
        <v>6481</v>
      </c>
      <c r="B6486" s="14">
        <f>'EstExp 12-20'!G363</f>
        <v>0</v>
      </c>
      <c r="C6486" s="5">
        <f t="shared" si="79"/>
        <v>6481</v>
      </c>
      <c r="D6486" s="11" t="s">
        <v>63</v>
      </c>
    </row>
    <row r="6487" spans="1:4" x14ac:dyDescent="0.2">
      <c r="A6487">
        <v>6482</v>
      </c>
      <c r="B6487" s="14">
        <f>'EstExp 12-20'!H363</f>
        <v>0</v>
      </c>
      <c r="C6487" s="5">
        <f t="shared" si="79"/>
        <v>6482</v>
      </c>
      <c r="D6487" s="11" t="s">
        <v>63</v>
      </c>
    </row>
    <row r="6488" spans="1:4" x14ac:dyDescent="0.2">
      <c r="A6488">
        <v>6483</v>
      </c>
      <c r="B6488" s="14">
        <f>'EstExp 12-20'!I363</f>
        <v>0</v>
      </c>
      <c r="C6488" s="5">
        <f t="shared" si="79"/>
        <v>6483</v>
      </c>
      <c r="D6488" s="11" t="s">
        <v>63</v>
      </c>
    </row>
    <row r="6489" spans="1:4" x14ac:dyDescent="0.2">
      <c r="A6489">
        <v>6484</v>
      </c>
      <c r="B6489" s="14">
        <f>'EstExp 12-20'!J363</f>
        <v>0</v>
      </c>
      <c r="C6489" s="5">
        <f t="shared" si="79"/>
        <v>6484</v>
      </c>
      <c r="D6489" s="11" t="s">
        <v>63</v>
      </c>
    </row>
    <row r="6490" spans="1:4" x14ac:dyDescent="0.2">
      <c r="A6490" s="648">
        <v>6485</v>
      </c>
      <c r="D6490" s="11" t="s">
        <v>63</v>
      </c>
    </row>
    <row r="6491" spans="1:4" x14ac:dyDescent="0.2">
      <c r="A6491">
        <v>6486</v>
      </c>
      <c r="B6491" s="14">
        <f>'EstExp 12-20'!L363</f>
        <v>0</v>
      </c>
      <c r="C6491" s="5">
        <f t="shared" si="79"/>
        <v>6486</v>
      </c>
      <c r="D6491" s="11" t="s">
        <v>63</v>
      </c>
    </row>
    <row r="6492" spans="1:4" x14ac:dyDescent="0.2">
      <c r="A6492" s="3">
        <v>6487</v>
      </c>
      <c r="D6492" s="11" t="s">
        <v>63</v>
      </c>
    </row>
    <row r="6493" spans="1:4" x14ac:dyDescent="0.2">
      <c r="A6493" s="3">
        <v>6488</v>
      </c>
      <c r="D6493" s="11" t="s">
        <v>63</v>
      </c>
    </row>
    <row r="6494" spans="1:4" x14ac:dyDescent="0.2">
      <c r="A6494" s="3">
        <v>6489</v>
      </c>
      <c r="D6494" s="11" t="s">
        <v>63</v>
      </c>
    </row>
    <row r="6495" spans="1:4" x14ac:dyDescent="0.2">
      <c r="A6495" s="3">
        <v>6490</v>
      </c>
      <c r="D6495" s="11" t="s">
        <v>63</v>
      </c>
    </row>
    <row r="6496" spans="1:4" x14ac:dyDescent="0.2">
      <c r="A6496" s="3">
        <v>6491</v>
      </c>
      <c r="D6496" s="11" t="s">
        <v>63</v>
      </c>
    </row>
    <row r="6497" spans="1:4" x14ac:dyDescent="0.2">
      <c r="A6497" s="3">
        <v>6492</v>
      </c>
      <c r="D6497" s="11" t="s">
        <v>63</v>
      </c>
    </row>
    <row r="6498" spans="1:4" x14ac:dyDescent="0.2">
      <c r="A6498" s="3">
        <v>6493</v>
      </c>
      <c r="D6498" s="11" t="s">
        <v>63</v>
      </c>
    </row>
    <row r="6499" spans="1:4" x14ac:dyDescent="0.2">
      <c r="A6499" s="3">
        <v>6494</v>
      </c>
      <c r="D6499" s="11" t="s">
        <v>63</v>
      </c>
    </row>
    <row r="6500" spans="1:4" x14ac:dyDescent="0.2">
      <c r="A6500" s="3">
        <v>6495</v>
      </c>
      <c r="D6500" s="11" t="s">
        <v>63</v>
      </c>
    </row>
    <row r="6501" spans="1:4" x14ac:dyDescent="0.2">
      <c r="A6501" s="3">
        <v>6496</v>
      </c>
      <c r="D6501" s="11" t="s">
        <v>63</v>
      </c>
    </row>
    <row r="6502" spans="1:4" x14ac:dyDescent="0.2">
      <c r="A6502" s="3">
        <v>6497</v>
      </c>
      <c r="D6502" s="11" t="s">
        <v>63</v>
      </c>
    </row>
    <row r="6503" spans="1:4" x14ac:dyDescent="0.2">
      <c r="A6503" s="3">
        <v>6498</v>
      </c>
      <c r="D6503" s="11" t="s">
        <v>63</v>
      </c>
    </row>
    <row r="6504" spans="1:4" x14ac:dyDescent="0.2">
      <c r="A6504" s="3">
        <v>6499</v>
      </c>
      <c r="D6504" s="11" t="s">
        <v>63</v>
      </c>
    </row>
    <row r="6505" spans="1:4" x14ac:dyDescent="0.2">
      <c r="A6505" s="3">
        <v>6500</v>
      </c>
      <c r="D6505" s="11" t="s">
        <v>63</v>
      </c>
    </row>
    <row r="6506" spans="1:4" x14ac:dyDescent="0.2">
      <c r="A6506" s="3">
        <v>6501</v>
      </c>
      <c r="D6506" s="11" t="s">
        <v>63</v>
      </c>
    </row>
    <row r="6507" spans="1:4" x14ac:dyDescent="0.2">
      <c r="A6507" s="3">
        <v>6502</v>
      </c>
      <c r="D6507" s="11" t="s">
        <v>63</v>
      </c>
    </row>
    <row r="6508" spans="1:4" x14ac:dyDescent="0.2">
      <c r="A6508" s="3">
        <v>6503</v>
      </c>
      <c r="D6508" s="11" t="s">
        <v>63</v>
      </c>
    </row>
    <row r="6509" spans="1:4" x14ac:dyDescent="0.2">
      <c r="A6509" s="3">
        <v>6504</v>
      </c>
      <c r="D6509" s="11" t="s">
        <v>63</v>
      </c>
    </row>
    <row r="6510" spans="1:4" x14ac:dyDescent="0.2">
      <c r="A6510" s="3">
        <v>6505</v>
      </c>
      <c r="D6510" s="11" t="s">
        <v>63</v>
      </c>
    </row>
    <row r="6511" spans="1:4" x14ac:dyDescent="0.2">
      <c r="A6511" s="3">
        <v>6506</v>
      </c>
      <c r="D6511" s="11" t="s">
        <v>63</v>
      </c>
    </row>
    <row r="6512" spans="1:4" x14ac:dyDescent="0.2">
      <c r="A6512" s="3">
        <v>6507</v>
      </c>
      <c r="D6512" s="11" t="s">
        <v>63</v>
      </c>
    </row>
    <row r="6513" spans="1:4" x14ac:dyDescent="0.2">
      <c r="A6513" s="3">
        <v>6508</v>
      </c>
      <c r="D6513" s="11" t="s">
        <v>63</v>
      </c>
    </row>
    <row r="6514" spans="1:4" x14ac:dyDescent="0.2">
      <c r="A6514" s="3">
        <v>6509</v>
      </c>
      <c r="D6514" s="11" t="s">
        <v>63</v>
      </c>
    </row>
    <row r="6515" spans="1:4" x14ac:dyDescent="0.2">
      <c r="A6515" s="3">
        <v>6510</v>
      </c>
      <c r="D6515" s="11" t="s">
        <v>63</v>
      </c>
    </row>
    <row r="6516" spans="1:4" x14ac:dyDescent="0.2">
      <c r="A6516" s="3">
        <v>6511</v>
      </c>
      <c r="D6516" s="11" t="s">
        <v>63</v>
      </c>
    </row>
    <row r="6517" spans="1:4" x14ac:dyDescent="0.2">
      <c r="A6517" s="3">
        <v>6512</v>
      </c>
      <c r="D6517" s="11" t="s">
        <v>63</v>
      </c>
    </row>
    <row r="6518" spans="1:4" x14ac:dyDescent="0.2">
      <c r="A6518" s="3">
        <v>6513</v>
      </c>
      <c r="D6518" s="11" t="s">
        <v>63</v>
      </c>
    </row>
    <row r="6519" spans="1:4" x14ac:dyDescent="0.2">
      <c r="A6519">
        <v>6514</v>
      </c>
      <c r="B6519" s="14">
        <f>'EstExp 12-20'!D364</f>
        <v>0</v>
      </c>
      <c r="C6519" s="5">
        <f t="shared" si="79"/>
        <v>6514</v>
      </c>
      <c r="D6519" s="11" t="s">
        <v>63</v>
      </c>
    </row>
    <row r="6520" spans="1:4" x14ac:dyDescent="0.2">
      <c r="A6520">
        <v>6515</v>
      </c>
      <c r="B6520" s="14">
        <f>'EstExp 12-20'!E364</f>
        <v>0</v>
      </c>
      <c r="C6520" s="5">
        <f t="shared" si="79"/>
        <v>6515</v>
      </c>
      <c r="D6520" s="11" t="s">
        <v>63</v>
      </c>
    </row>
    <row r="6521" spans="1:4" x14ac:dyDescent="0.2">
      <c r="A6521">
        <v>6516</v>
      </c>
      <c r="B6521" s="14">
        <f>'EstExp 12-20'!F364</f>
        <v>0</v>
      </c>
      <c r="C6521" s="5">
        <f t="shared" si="79"/>
        <v>6516</v>
      </c>
      <c r="D6521" s="11" t="s">
        <v>63</v>
      </c>
    </row>
    <row r="6522" spans="1:4" x14ac:dyDescent="0.2">
      <c r="A6522">
        <v>6517</v>
      </c>
      <c r="B6522" s="14">
        <f>'EstExp 12-20'!G364</f>
        <v>0</v>
      </c>
      <c r="C6522" s="5">
        <f t="shared" si="79"/>
        <v>6517</v>
      </c>
      <c r="D6522" s="11" t="s">
        <v>63</v>
      </c>
    </row>
    <row r="6523" spans="1:4" x14ac:dyDescent="0.2">
      <c r="A6523">
        <v>6518</v>
      </c>
      <c r="B6523" s="14">
        <f>'EstExp 12-20'!H364</f>
        <v>0</v>
      </c>
      <c r="C6523" s="5">
        <f t="shared" si="79"/>
        <v>6518</v>
      </c>
      <c r="D6523" s="11" t="s">
        <v>63</v>
      </c>
    </row>
    <row r="6524" spans="1:4" x14ac:dyDescent="0.2">
      <c r="A6524">
        <v>6519</v>
      </c>
      <c r="B6524" s="14">
        <f>'EstExp 12-20'!I364</f>
        <v>0</v>
      </c>
      <c r="C6524" s="5">
        <f t="shared" si="79"/>
        <v>6519</v>
      </c>
      <c r="D6524" s="11" t="s">
        <v>63</v>
      </c>
    </row>
    <row r="6525" spans="1:4" x14ac:dyDescent="0.2">
      <c r="A6525">
        <v>6520</v>
      </c>
      <c r="B6525" s="14">
        <f>'EstExp 12-20'!J364</f>
        <v>0</v>
      </c>
      <c r="C6525" s="5">
        <f t="shared" si="79"/>
        <v>6520</v>
      </c>
      <c r="D6525" s="11" t="s">
        <v>63</v>
      </c>
    </row>
    <row r="6526" spans="1:4" x14ac:dyDescent="0.2">
      <c r="A6526" s="648">
        <v>6521</v>
      </c>
      <c r="D6526" s="11" t="s">
        <v>63</v>
      </c>
    </row>
    <row r="6527" spans="1:4" x14ac:dyDescent="0.2">
      <c r="A6527">
        <v>6522</v>
      </c>
      <c r="B6527" s="14">
        <f>'EstExp 12-20'!L364</f>
        <v>0</v>
      </c>
      <c r="C6527" s="5">
        <f t="shared" si="79"/>
        <v>6522</v>
      </c>
      <c r="D6527" s="11" t="s">
        <v>63</v>
      </c>
    </row>
    <row r="6528" spans="1:4" x14ac:dyDescent="0.2">
      <c r="A6528" s="3">
        <v>6523</v>
      </c>
      <c r="D6528" s="11" t="s">
        <v>63</v>
      </c>
    </row>
    <row r="6529" spans="1:4" x14ac:dyDescent="0.2">
      <c r="A6529" s="3">
        <v>6524</v>
      </c>
      <c r="D6529" s="11" t="s">
        <v>63</v>
      </c>
    </row>
    <row r="6530" spans="1:4" x14ac:dyDescent="0.2">
      <c r="A6530" s="3">
        <v>6525</v>
      </c>
      <c r="D6530" s="11" t="s">
        <v>63</v>
      </c>
    </row>
    <row r="6531" spans="1:4" x14ac:dyDescent="0.2">
      <c r="A6531" s="3">
        <v>6526</v>
      </c>
      <c r="D6531" s="11" t="s">
        <v>63</v>
      </c>
    </row>
    <row r="6532" spans="1:4" x14ac:dyDescent="0.2">
      <c r="A6532" s="3">
        <v>6527</v>
      </c>
      <c r="D6532" s="11" t="s">
        <v>63</v>
      </c>
    </row>
    <row r="6533" spans="1:4" x14ac:dyDescent="0.2">
      <c r="A6533" s="3">
        <v>6528</v>
      </c>
      <c r="D6533" s="11" t="s">
        <v>63</v>
      </c>
    </row>
    <row r="6534" spans="1:4" x14ac:dyDescent="0.2">
      <c r="A6534" s="3">
        <v>6529</v>
      </c>
      <c r="D6534" s="11" t="s">
        <v>63</v>
      </c>
    </row>
    <row r="6535" spans="1:4" x14ac:dyDescent="0.2">
      <c r="A6535" s="3">
        <v>6530</v>
      </c>
      <c r="D6535" s="11" t="s">
        <v>63</v>
      </c>
    </row>
    <row r="6536" spans="1:4" x14ac:dyDescent="0.2">
      <c r="A6536" s="3">
        <v>6531</v>
      </c>
      <c r="D6536" s="11" t="s">
        <v>63</v>
      </c>
    </row>
    <row r="6537" spans="1:4" x14ac:dyDescent="0.2">
      <c r="A6537" s="3">
        <v>6532</v>
      </c>
      <c r="D6537" s="11" t="s">
        <v>63</v>
      </c>
    </row>
    <row r="6538" spans="1:4" x14ac:dyDescent="0.2">
      <c r="A6538" s="3">
        <v>6533</v>
      </c>
      <c r="D6538" s="11" t="s">
        <v>63</v>
      </c>
    </row>
    <row r="6539" spans="1:4" x14ac:dyDescent="0.2">
      <c r="A6539" s="3">
        <v>6534</v>
      </c>
      <c r="D6539" s="11" t="s">
        <v>63</v>
      </c>
    </row>
    <row r="6540" spans="1:4" x14ac:dyDescent="0.2">
      <c r="A6540" s="3">
        <v>6535</v>
      </c>
      <c r="D6540" s="11" t="s">
        <v>63</v>
      </c>
    </row>
    <row r="6541" spans="1:4" x14ac:dyDescent="0.2">
      <c r="A6541" s="3">
        <v>6536</v>
      </c>
      <c r="D6541" s="11" t="s">
        <v>63</v>
      </c>
    </row>
    <row r="6542" spans="1:4" x14ac:dyDescent="0.2">
      <c r="A6542" s="3">
        <v>6537</v>
      </c>
      <c r="D6542" s="11" t="s">
        <v>63</v>
      </c>
    </row>
    <row r="6543" spans="1:4" x14ac:dyDescent="0.2">
      <c r="A6543" s="3">
        <v>6538</v>
      </c>
      <c r="D6543" s="11" t="s">
        <v>63</v>
      </c>
    </row>
    <row r="6544" spans="1:4" x14ac:dyDescent="0.2">
      <c r="A6544" s="3">
        <v>6539</v>
      </c>
      <c r="D6544" s="11" t="s">
        <v>63</v>
      </c>
    </row>
    <row r="6545" spans="1:4" x14ac:dyDescent="0.2">
      <c r="A6545" s="3">
        <v>6540</v>
      </c>
      <c r="D6545" s="11" t="s">
        <v>63</v>
      </c>
    </row>
    <row r="6546" spans="1:4" x14ac:dyDescent="0.2">
      <c r="A6546" s="3">
        <v>6541</v>
      </c>
      <c r="D6546" s="11" t="s">
        <v>63</v>
      </c>
    </row>
    <row r="6547" spans="1:4" x14ac:dyDescent="0.2">
      <c r="A6547" s="3">
        <v>6542</v>
      </c>
      <c r="D6547" s="11" t="s">
        <v>63</v>
      </c>
    </row>
    <row r="6548" spans="1:4" x14ac:dyDescent="0.2">
      <c r="A6548" s="3">
        <v>6543</v>
      </c>
      <c r="D6548" s="11" t="s">
        <v>63</v>
      </c>
    </row>
    <row r="6549" spans="1:4" x14ac:dyDescent="0.2">
      <c r="A6549" s="3">
        <v>6544</v>
      </c>
      <c r="D6549" s="11" t="s">
        <v>63</v>
      </c>
    </row>
    <row r="6550" spans="1:4" x14ac:dyDescent="0.2">
      <c r="A6550" s="3">
        <v>6545</v>
      </c>
      <c r="D6550" s="11" t="s">
        <v>63</v>
      </c>
    </row>
    <row r="6551" spans="1:4" x14ac:dyDescent="0.2">
      <c r="A6551" s="3">
        <v>6546</v>
      </c>
      <c r="D6551" s="11" t="s">
        <v>63</v>
      </c>
    </row>
    <row r="6552" spans="1:4" x14ac:dyDescent="0.2">
      <c r="A6552" s="3">
        <v>6547</v>
      </c>
      <c r="D6552" s="11" t="s">
        <v>63</v>
      </c>
    </row>
    <row r="6553" spans="1:4" x14ac:dyDescent="0.2">
      <c r="A6553" s="3">
        <v>6548</v>
      </c>
      <c r="D6553" s="11" t="s">
        <v>63</v>
      </c>
    </row>
    <row r="6554" spans="1:4" x14ac:dyDescent="0.2">
      <c r="A6554" s="3">
        <v>6549</v>
      </c>
      <c r="D6554" s="11" t="s">
        <v>63</v>
      </c>
    </row>
    <row r="6555" spans="1:4" x14ac:dyDescent="0.2">
      <c r="A6555" s="3">
        <v>6550</v>
      </c>
      <c r="D6555" s="11" t="s">
        <v>63</v>
      </c>
    </row>
    <row r="6556" spans="1:4" x14ac:dyDescent="0.2">
      <c r="A6556" s="3">
        <v>6551</v>
      </c>
      <c r="D6556" s="11" t="s">
        <v>63</v>
      </c>
    </row>
    <row r="6557" spans="1:4" x14ac:dyDescent="0.2">
      <c r="A6557" s="3">
        <v>6552</v>
      </c>
      <c r="D6557" s="11" t="s">
        <v>63</v>
      </c>
    </row>
    <row r="6558" spans="1:4" x14ac:dyDescent="0.2">
      <c r="A6558" s="3">
        <v>6553</v>
      </c>
      <c r="D6558" s="11" t="s">
        <v>63</v>
      </c>
    </row>
    <row r="6559" spans="1:4" x14ac:dyDescent="0.2">
      <c r="A6559" s="3">
        <v>6554</v>
      </c>
      <c r="D6559" s="11" t="s">
        <v>63</v>
      </c>
    </row>
    <row r="6560" spans="1:4" x14ac:dyDescent="0.2">
      <c r="A6560" s="3">
        <v>6555</v>
      </c>
      <c r="D6560" s="11" t="s">
        <v>63</v>
      </c>
    </row>
    <row r="6561" spans="1:4" x14ac:dyDescent="0.2">
      <c r="A6561" s="3">
        <v>6556</v>
      </c>
      <c r="D6561" s="11" t="s">
        <v>63</v>
      </c>
    </row>
    <row r="6562" spans="1:4" x14ac:dyDescent="0.2">
      <c r="A6562" s="3">
        <v>6557</v>
      </c>
      <c r="D6562" s="11" t="s">
        <v>63</v>
      </c>
    </row>
    <row r="6563" spans="1:4" x14ac:dyDescent="0.2">
      <c r="A6563" s="3">
        <v>6558</v>
      </c>
      <c r="D6563" s="11" t="s">
        <v>63</v>
      </c>
    </row>
    <row r="6564" spans="1:4" x14ac:dyDescent="0.2">
      <c r="A6564">
        <v>6559</v>
      </c>
      <c r="B6564" s="15">
        <f>'EstExp 12-20'!D365</f>
        <v>0</v>
      </c>
      <c r="C6564" s="5">
        <f t="shared" ref="C6564:C6598" si="80">A6564-B6564</f>
        <v>6559</v>
      </c>
      <c r="D6564" s="11" t="s">
        <v>63</v>
      </c>
    </row>
    <row r="6565" spans="1:4" x14ac:dyDescent="0.2">
      <c r="A6565">
        <v>6560</v>
      </c>
      <c r="B6565" s="15">
        <f>'EstExp 12-20'!E365</f>
        <v>0</v>
      </c>
      <c r="C6565" s="5">
        <f t="shared" si="80"/>
        <v>6560</v>
      </c>
      <c r="D6565" s="11" t="s">
        <v>63</v>
      </c>
    </row>
    <row r="6566" spans="1:4" x14ac:dyDescent="0.2">
      <c r="A6566">
        <v>6561</v>
      </c>
      <c r="B6566" s="15">
        <f>'EstExp 12-20'!F365</f>
        <v>360000</v>
      </c>
      <c r="C6566" s="5">
        <f t="shared" si="80"/>
        <v>-353439</v>
      </c>
      <c r="D6566" s="11" t="s">
        <v>63</v>
      </c>
    </row>
    <row r="6567" spans="1:4" x14ac:dyDescent="0.2">
      <c r="A6567">
        <v>6562</v>
      </c>
      <c r="B6567" s="15">
        <f>'EstExp 12-20'!G365</f>
        <v>0</v>
      </c>
      <c r="C6567" s="5">
        <f t="shared" si="80"/>
        <v>6562</v>
      </c>
      <c r="D6567" s="11" t="s">
        <v>63</v>
      </c>
    </row>
    <row r="6568" spans="1:4" x14ac:dyDescent="0.2">
      <c r="A6568">
        <v>6563</v>
      </c>
      <c r="B6568" s="15">
        <f>'EstExp 12-20'!H365</f>
        <v>0</v>
      </c>
      <c r="C6568" s="5">
        <f t="shared" si="80"/>
        <v>6563</v>
      </c>
      <c r="D6568" s="11" t="s">
        <v>63</v>
      </c>
    </row>
    <row r="6569" spans="1:4" x14ac:dyDescent="0.2">
      <c r="A6569">
        <v>6564</v>
      </c>
      <c r="B6569" s="15">
        <f>'EstExp 12-20'!I365</f>
        <v>0</v>
      </c>
      <c r="C6569" s="5">
        <f t="shared" si="80"/>
        <v>6564</v>
      </c>
      <c r="D6569" s="11" t="s">
        <v>63</v>
      </c>
    </row>
    <row r="6570" spans="1:4" x14ac:dyDescent="0.2">
      <c r="A6570">
        <v>6565</v>
      </c>
      <c r="B6570" s="15">
        <f>'EstExp 12-20'!J365</f>
        <v>0</v>
      </c>
      <c r="C6570" s="5">
        <f t="shared" si="80"/>
        <v>6565</v>
      </c>
      <c r="D6570" s="11" t="s">
        <v>63</v>
      </c>
    </row>
    <row r="6571" spans="1:4" x14ac:dyDescent="0.2">
      <c r="A6571" s="3">
        <v>6566</v>
      </c>
      <c r="D6571" s="11" t="s">
        <v>63</v>
      </c>
    </row>
    <row r="6572" spans="1:4" x14ac:dyDescent="0.2">
      <c r="A6572">
        <v>6567</v>
      </c>
      <c r="B6572" s="15">
        <f>'EstExp 12-20'!L365</f>
        <v>360000</v>
      </c>
      <c r="C6572" s="5">
        <f t="shared" si="80"/>
        <v>-353433</v>
      </c>
      <c r="D6572" s="11" t="s">
        <v>63</v>
      </c>
    </row>
    <row r="6573" spans="1:4" x14ac:dyDescent="0.2">
      <c r="A6573" s="4">
        <v>6568</v>
      </c>
      <c r="B6573" s="15">
        <f>'EstExp 12-20'!I418</f>
        <v>0</v>
      </c>
      <c r="C6573" s="5">
        <f t="shared" si="80"/>
        <v>6568</v>
      </c>
      <c r="D6573" s="11" t="s">
        <v>63</v>
      </c>
    </row>
    <row r="6574" spans="1:4" x14ac:dyDescent="0.2">
      <c r="A6574" s="4">
        <v>6569</v>
      </c>
      <c r="B6574" s="15">
        <f>'EstExp 12-20'!L418</f>
        <v>0</v>
      </c>
      <c r="C6574" s="5">
        <f t="shared" si="80"/>
        <v>6569</v>
      </c>
      <c r="D6574" s="11" t="s">
        <v>63</v>
      </c>
    </row>
    <row r="6575" spans="1:4" x14ac:dyDescent="0.2">
      <c r="A6575" s="4">
        <v>6570</v>
      </c>
      <c r="B6575" s="15">
        <f>'EstExp 12-20'!I420</f>
        <v>0</v>
      </c>
      <c r="C6575" s="5">
        <f t="shared" si="80"/>
        <v>6570</v>
      </c>
      <c r="D6575" s="11" t="s">
        <v>63</v>
      </c>
    </row>
    <row r="6576" spans="1:4" x14ac:dyDescent="0.2">
      <c r="A6576" s="4">
        <v>6571</v>
      </c>
      <c r="B6576" s="15">
        <f>'EstExp 12-20'!L420</f>
        <v>0</v>
      </c>
      <c r="C6576" s="5">
        <f t="shared" si="80"/>
        <v>6571</v>
      </c>
      <c r="D6576" s="11" t="s">
        <v>63</v>
      </c>
    </row>
    <row r="6577" spans="1:4" x14ac:dyDescent="0.2">
      <c r="A6577">
        <v>6572</v>
      </c>
      <c r="B6577" s="15">
        <f>'EstExp 12-20'!D428</f>
        <v>0</v>
      </c>
      <c r="C6577" s="5">
        <f t="shared" si="80"/>
        <v>6572</v>
      </c>
      <c r="D6577" s="11" t="s">
        <v>63</v>
      </c>
    </row>
    <row r="6578" spans="1:4" x14ac:dyDescent="0.2">
      <c r="A6578">
        <v>6573</v>
      </c>
      <c r="B6578" s="15">
        <f>'EstExp 12-20'!E428</f>
        <v>0</v>
      </c>
      <c r="C6578" s="5">
        <f t="shared" si="80"/>
        <v>6573</v>
      </c>
      <c r="D6578" s="11" t="s">
        <v>63</v>
      </c>
    </row>
    <row r="6579" spans="1:4" x14ac:dyDescent="0.2">
      <c r="A6579">
        <v>6574</v>
      </c>
      <c r="B6579" s="15">
        <f>'EstExp 12-20'!G428</f>
        <v>0</v>
      </c>
      <c r="C6579" s="5">
        <f t="shared" si="80"/>
        <v>6574</v>
      </c>
      <c r="D6579" s="11" t="s">
        <v>63</v>
      </c>
    </row>
    <row r="6580" spans="1:4" x14ac:dyDescent="0.2">
      <c r="A6580">
        <v>6575</v>
      </c>
      <c r="B6580" s="15">
        <f>'EstExp 12-20'!H428</f>
        <v>0</v>
      </c>
      <c r="C6580" s="5">
        <f t="shared" si="80"/>
        <v>6575</v>
      </c>
      <c r="D6580" s="11" t="s">
        <v>63</v>
      </c>
    </row>
    <row r="6581" spans="1:4" x14ac:dyDescent="0.2">
      <c r="A6581">
        <v>6576</v>
      </c>
      <c r="B6581" s="15">
        <f>'EstExp 12-20'!J428</f>
        <v>0</v>
      </c>
      <c r="C6581" s="5">
        <f t="shared" si="80"/>
        <v>6576</v>
      </c>
      <c r="D6581" s="11" t="s">
        <v>63</v>
      </c>
    </row>
    <row r="6582" spans="1:4" x14ac:dyDescent="0.2">
      <c r="A6582" s="3">
        <v>6577</v>
      </c>
      <c r="D6582" s="11" t="s">
        <v>63</v>
      </c>
    </row>
    <row r="6583" spans="1:4" x14ac:dyDescent="0.2">
      <c r="A6583">
        <v>6578</v>
      </c>
      <c r="B6583" s="14">
        <f>'EstExp 12-20'!J434</f>
        <v>0</v>
      </c>
      <c r="C6583" s="5">
        <f t="shared" si="80"/>
        <v>6578</v>
      </c>
      <c r="D6583" s="11" t="s">
        <v>63</v>
      </c>
    </row>
    <row r="6584" spans="1:4" x14ac:dyDescent="0.2">
      <c r="A6584" s="648">
        <v>6579</v>
      </c>
      <c r="D6584" s="11" t="s">
        <v>63</v>
      </c>
    </row>
    <row r="6585" spans="1:4" x14ac:dyDescent="0.2">
      <c r="A6585">
        <v>6580</v>
      </c>
      <c r="B6585" s="14">
        <f>'EstExp 12-20'!J435</f>
        <v>0</v>
      </c>
      <c r="C6585" s="5">
        <f t="shared" si="80"/>
        <v>6580</v>
      </c>
      <c r="D6585" s="11" t="s">
        <v>63</v>
      </c>
    </row>
    <row r="6586" spans="1:4" x14ac:dyDescent="0.2">
      <c r="A6586" s="648">
        <v>6581</v>
      </c>
      <c r="D6586" s="11" t="s">
        <v>63</v>
      </c>
    </row>
    <row r="6587" spans="1:4" x14ac:dyDescent="0.2">
      <c r="A6587">
        <v>6582</v>
      </c>
      <c r="B6587" s="14">
        <f>'EstExp 12-20'!J436</f>
        <v>0</v>
      </c>
      <c r="C6587" s="5">
        <f t="shared" si="80"/>
        <v>6582</v>
      </c>
      <c r="D6587" s="11" t="s">
        <v>63</v>
      </c>
    </row>
    <row r="6588" spans="1:4" x14ac:dyDescent="0.2">
      <c r="A6588" s="648">
        <v>6583</v>
      </c>
      <c r="C6588" s="5">
        <f t="shared" si="80"/>
        <v>6583</v>
      </c>
      <c r="D6588" s="11" t="s">
        <v>63</v>
      </c>
    </row>
    <row r="6589" spans="1:4" x14ac:dyDescent="0.2">
      <c r="A6589">
        <v>6584</v>
      </c>
      <c r="B6589" s="14">
        <f>'EstExp 12-20'!J437</f>
        <v>0</v>
      </c>
      <c r="C6589" s="5">
        <f t="shared" si="80"/>
        <v>6584</v>
      </c>
      <c r="D6589" s="11" t="s">
        <v>63</v>
      </c>
    </row>
    <row r="6590" spans="1:4" x14ac:dyDescent="0.2">
      <c r="A6590" s="648">
        <v>6585</v>
      </c>
      <c r="D6590" s="11" t="s">
        <v>63</v>
      </c>
    </row>
    <row r="6591" spans="1:4" x14ac:dyDescent="0.2">
      <c r="A6591">
        <v>6586</v>
      </c>
      <c r="B6591" s="14">
        <f>'EstExp 12-20'!J438</f>
        <v>0</v>
      </c>
      <c r="C6591" s="5">
        <f t="shared" si="80"/>
        <v>6586</v>
      </c>
      <c r="D6591" s="11" t="s">
        <v>63</v>
      </c>
    </row>
    <row r="6592" spans="1:4" x14ac:dyDescent="0.2">
      <c r="A6592" s="648">
        <v>6587</v>
      </c>
      <c r="D6592" s="11" t="s">
        <v>63</v>
      </c>
    </row>
    <row r="6593" spans="1:4" x14ac:dyDescent="0.2">
      <c r="A6593">
        <v>6588</v>
      </c>
      <c r="B6593" s="14">
        <f>'EstExp 12-20'!I447</f>
        <v>0</v>
      </c>
      <c r="C6593" s="5">
        <f t="shared" si="80"/>
        <v>6588</v>
      </c>
      <c r="D6593" s="11" t="s">
        <v>63</v>
      </c>
    </row>
    <row r="6594" spans="1:4" x14ac:dyDescent="0.2">
      <c r="A6594">
        <v>6589</v>
      </c>
      <c r="B6594" s="14">
        <f>'EstExp 12-20'!L447</f>
        <v>0</v>
      </c>
      <c r="C6594" s="5">
        <f t="shared" si="80"/>
        <v>6589</v>
      </c>
      <c r="D6594" s="11" t="s">
        <v>63</v>
      </c>
    </row>
    <row r="6595" spans="1:4" x14ac:dyDescent="0.2">
      <c r="A6595">
        <v>6590</v>
      </c>
      <c r="B6595" s="14">
        <f>'EstExp 12-20'!J453</f>
        <v>0</v>
      </c>
      <c r="C6595" s="5">
        <f t="shared" si="80"/>
        <v>6590</v>
      </c>
      <c r="D6595" s="11" t="s">
        <v>63</v>
      </c>
    </row>
    <row r="6596" spans="1:4" x14ac:dyDescent="0.2">
      <c r="A6596" s="648">
        <v>6591</v>
      </c>
      <c r="D6596" s="11" t="s">
        <v>63</v>
      </c>
    </row>
    <row r="6597" spans="1:4" x14ac:dyDescent="0.2">
      <c r="A6597" s="4">
        <v>6592</v>
      </c>
      <c r="B6597" s="15">
        <f>'EstExp 12-20'!I427</f>
        <v>0</v>
      </c>
      <c r="C6597" s="5">
        <f t="shared" si="80"/>
        <v>6592</v>
      </c>
      <c r="D6597" s="11" t="s">
        <v>63</v>
      </c>
    </row>
    <row r="6598" spans="1:4" x14ac:dyDescent="0.2">
      <c r="A6598" s="4">
        <v>6593</v>
      </c>
      <c r="B6598" s="15">
        <f>'EstExp 12-20'!L427</f>
        <v>0</v>
      </c>
      <c r="C6598" s="5">
        <f t="shared" si="80"/>
        <v>6593</v>
      </c>
      <c r="D6598" s="11" t="s">
        <v>63</v>
      </c>
    </row>
    <row r="6599" spans="1:4" x14ac:dyDescent="0.2">
      <c r="A6599" s="3">
        <v>6594</v>
      </c>
      <c r="D6599" s="11" t="s">
        <v>655</v>
      </c>
    </row>
    <row r="6600" spans="1:4" x14ac:dyDescent="0.2">
      <c r="A6600" s="3">
        <v>6595</v>
      </c>
      <c r="D6600" s="11" t="s">
        <v>655</v>
      </c>
    </row>
    <row r="6601" spans="1:4" x14ac:dyDescent="0.2">
      <c r="A6601" s="3">
        <v>6596</v>
      </c>
      <c r="D6601" s="11" t="s">
        <v>655</v>
      </c>
    </row>
    <row r="6602" spans="1:4" x14ac:dyDescent="0.2">
      <c r="A6602" s="3">
        <v>6597</v>
      </c>
      <c r="D6602" s="11" t="s">
        <v>655</v>
      </c>
    </row>
    <row r="6603" spans="1:4" x14ac:dyDescent="0.2">
      <c r="A6603" s="3">
        <v>6598</v>
      </c>
      <c r="D6603" s="11" t="s">
        <v>777</v>
      </c>
    </row>
    <row r="6604" spans="1:4" x14ac:dyDescent="0.2">
      <c r="A6604">
        <v>6599</v>
      </c>
      <c r="B6604" s="15">
        <f>'CashSum 5'!I9</f>
        <v>0</v>
      </c>
      <c r="C6604" s="5">
        <f t="shared" ref="C6604:C6646" si="81">A6604-B6604</f>
        <v>6599</v>
      </c>
      <c r="D6604" s="11" t="s">
        <v>63</v>
      </c>
    </row>
    <row r="6605" spans="1:4" x14ac:dyDescent="0.2">
      <c r="A6605">
        <v>6600</v>
      </c>
      <c r="B6605" s="15">
        <f>'CashSum 5'!J9</f>
        <v>0</v>
      </c>
      <c r="C6605" s="5">
        <f t="shared" si="81"/>
        <v>6600</v>
      </c>
      <c r="D6605" s="11" t="s">
        <v>63</v>
      </c>
    </row>
    <row r="6606" spans="1:4" x14ac:dyDescent="0.2">
      <c r="A6606">
        <v>6601</v>
      </c>
      <c r="B6606" s="15">
        <f>'CashSum 5'!H18</f>
        <v>0</v>
      </c>
      <c r="C6606" s="5">
        <f t="shared" si="81"/>
        <v>6601</v>
      </c>
      <c r="D6606" s="11" t="s">
        <v>63</v>
      </c>
    </row>
    <row r="6607" spans="1:4" x14ac:dyDescent="0.2">
      <c r="A6607">
        <v>6602</v>
      </c>
      <c r="B6607" s="15">
        <f>'CashSum 5'!I18</f>
        <v>0</v>
      </c>
      <c r="C6607" s="5">
        <f t="shared" si="81"/>
        <v>6602</v>
      </c>
      <c r="D6607" s="11" t="s">
        <v>63</v>
      </c>
    </row>
    <row r="6608" spans="1:4" x14ac:dyDescent="0.2">
      <c r="A6608">
        <v>6603</v>
      </c>
      <c r="B6608" s="15">
        <f>'CashSum 5'!J18</f>
        <v>0</v>
      </c>
      <c r="C6608" s="5">
        <f t="shared" si="81"/>
        <v>6603</v>
      </c>
      <c r="D6608" s="11" t="s">
        <v>63</v>
      </c>
    </row>
    <row r="6609" spans="1:6" x14ac:dyDescent="0.2">
      <c r="A6609" s="4">
        <v>6604</v>
      </c>
      <c r="B6609" s="15">
        <f>'EstExp 12-20'!I422</f>
        <v>0</v>
      </c>
      <c r="C6609" s="5">
        <f t="shared" si="81"/>
        <v>6604</v>
      </c>
      <c r="D6609" s="5" t="s">
        <v>162</v>
      </c>
    </row>
    <row r="6610" spans="1:6" x14ac:dyDescent="0.2">
      <c r="A6610" s="4">
        <v>6605</v>
      </c>
      <c r="B6610" s="15">
        <f>'EstExp 12-20'!L422</f>
        <v>0</v>
      </c>
      <c r="C6610" s="5">
        <f t="shared" si="81"/>
        <v>6605</v>
      </c>
      <c r="D6610" s="5" t="s">
        <v>162</v>
      </c>
    </row>
    <row r="6611" spans="1:6" x14ac:dyDescent="0.2">
      <c r="A6611" s="4">
        <v>6606</v>
      </c>
      <c r="B6611" s="15">
        <f>'EstExp 12-20'!I426</f>
        <v>0</v>
      </c>
      <c r="C6611" s="5">
        <f t="shared" si="81"/>
        <v>6606</v>
      </c>
      <c r="D6611" s="5" t="s">
        <v>162</v>
      </c>
    </row>
    <row r="6612" spans="1:6" x14ac:dyDescent="0.2">
      <c r="A6612" s="4">
        <v>6607</v>
      </c>
      <c r="B6612" s="15">
        <f>'EstExp 12-20'!L426</f>
        <v>0</v>
      </c>
      <c r="C6612" s="5">
        <f t="shared" si="81"/>
        <v>6607</v>
      </c>
      <c r="D6612" s="5" t="s">
        <v>162</v>
      </c>
    </row>
    <row r="6613" spans="1:6" x14ac:dyDescent="0.2">
      <c r="A6613">
        <v>6608</v>
      </c>
      <c r="B6613" s="15">
        <f>'EstExp 12-20'!F428</f>
        <v>360000</v>
      </c>
      <c r="C6613" s="5">
        <f t="shared" si="81"/>
        <v>-353392</v>
      </c>
      <c r="D6613" s="5" t="s">
        <v>162</v>
      </c>
    </row>
    <row r="6614" spans="1:6" x14ac:dyDescent="0.2">
      <c r="A6614">
        <v>6609</v>
      </c>
      <c r="B6614" s="15">
        <f>'EstExp 12-20'!I428</f>
        <v>0</v>
      </c>
      <c r="C6614" s="5">
        <f t="shared" si="81"/>
        <v>6609</v>
      </c>
      <c r="D6614" s="5" t="s">
        <v>162</v>
      </c>
    </row>
    <row r="6615" spans="1:6" x14ac:dyDescent="0.2">
      <c r="A6615">
        <v>6610</v>
      </c>
      <c r="B6615" s="15">
        <f>'EstExp 12-20'!L428</f>
        <v>360000</v>
      </c>
      <c r="C6615" s="5">
        <f t="shared" si="81"/>
        <v>-353390</v>
      </c>
      <c r="D6615" s="5" t="s">
        <v>162</v>
      </c>
    </row>
    <row r="6616" spans="1:6" x14ac:dyDescent="0.2">
      <c r="A6616">
        <v>6611</v>
      </c>
      <c r="B6616" s="15">
        <f>'EstExp 12-20'!L429</f>
        <v>0</v>
      </c>
      <c r="C6616" s="5">
        <f t="shared" si="81"/>
        <v>6611</v>
      </c>
      <c r="D6616" s="5" t="s">
        <v>162</v>
      </c>
    </row>
    <row r="6617" spans="1:6" x14ac:dyDescent="0.2">
      <c r="A6617" s="3">
        <v>6612</v>
      </c>
      <c r="D6617" s="5" t="s">
        <v>162</v>
      </c>
      <c r="E6617" s="5" t="s">
        <v>236</v>
      </c>
    </row>
    <row r="6618" spans="1:6" x14ac:dyDescent="0.2">
      <c r="A6618" s="3">
        <v>6613</v>
      </c>
      <c r="D6618" s="5" t="s">
        <v>162</v>
      </c>
      <c r="E6618" s="5" t="s">
        <v>236</v>
      </c>
    </row>
    <row r="6619" spans="1:6" x14ac:dyDescent="0.2">
      <c r="A6619">
        <v>6614</v>
      </c>
      <c r="B6619" s="14">
        <f>'EstRev 6-11'!F105</f>
        <v>0</v>
      </c>
      <c r="C6619" s="5">
        <f t="shared" si="81"/>
        <v>6614</v>
      </c>
      <c r="D6619" s="5" t="s">
        <v>162</v>
      </c>
      <c r="E6619"/>
      <c r="F6619"/>
    </row>
    <row r="6620" spans="1:6" x14ac:dyDescent="0.2">
      <c r="A6620" s="3">
        <v>6615</v>
      </c>
      <c r="D6620" s="5" t="s">
        <v>162</v>
      </c>
      <c r="E6620" s="5" t="s">
        <v>236</v>
      </c>
    </row>
    <row r="6621" spans="1:6" x14ac:dyDescent="0.2">
      <c r="A6621" s="3">
        <v>6616</v>
      </c>
      <c r="D6621" s="5" t="s">
        <v>162</v>
      </c>
      <c r="E6621" s="5" t="s">
        <v>236</v>
      </c>
    </row>
    <row r="6622" spans="1:6" x14ac:dyDescent="0.2">
      <c r="A6622">
        <v>6617</v>
      </c>
      <c r="B6622" s="14">
        <f>'EstRev 6-11'!I105</f>
        <v>0</v>
      </c>
      <c r="C6622" s="5">
        <f t="shared" si="81"/>
        <v>6617</v>
      </c>
      <c r="D6622" s="5" t="s">
        <v>162</v>
      </c>
      <c r="E6622"/>
      <c r="F6622"/>
    </row>
    <row r="6623" spans="1:6" x14ac:dyDescent="0.2">
      <c r="A6623" s="3">
        <v>6618</v>
      </c>
      <c r="D6623" s="5" t="s">
        <v>162</v>
      </c>
      <c r="E6623" s="5" t="s">
        <v>236</v>
      </c>
    </row>
    <row r="6624" spans="1:6" x14ac:dyDescent="0.2">
      <c r="A6624" s="3">
        <v>6619</v>
      </c>
      <c r="D6624" s="5" t="s">
        <v>162</v>
      </c>
      <c r="E6624" s="5" t="s">
        <v>236</v>
      </c>
    </row>
    <row r="6625" spans="1:4" x14ac:dyDescent="0.2">
      <c r="A6625" s="3">
        <v>6620</v>
      </c>
      <c r="D6625" s="5" t="s">
        <v>162</v>
      </c>
    </row>
    <row r="6626" spans="1:4" x14ac:dyDescent="0.2">
      <c r="A6626">
        <v>6621</v>
      </c>
      <c r="B6626" s="14">
        <f>'EstExp 12-20'!D54</f>
        <v>0</v>
      </c>
      <c r="C6626" s="5">
        <f t="shared" si="81"/>
        <v>6621</v>
      </c>
      <c r="D6626" s="5" t="s">
        <v>162</v>
      </c>
    </row>
    <row r="6627" spans="1:4" x14ac:dyDescent="0.2">
      <c r="A6627">
        <v>6622</v>
      </c>
      <c r="B6627" s="14">
        <f>'EstExp 12-20'!E54</f>
        <v>0</v>
      </c>
      <c r="C6627" s="5">
        <f t="shared" si="81"/>
        <v>6622</v>
      </c>
      <c r="D6627" s="5" t="s">
        <v>162</v>
      </c>
    </row>
    <row r="6628" spans="1:4" x14ac:dyDescent="0.2">
      <c r="A6628">
        <v>6623</v>
      </c>
      <c r="B6628" s="14">
        <f>'EstExp 12-20'!F54</f>
        <v>0</v>
      </c>
      <c r="C6628" s="5">
        <f t="shared" si="81"/>
        <v>6623</v>
      </c>
      <c r="D6628" s="5" t="s">
        <v>162</v>
      </c>
    </row>
    <row r="6629" spans="1:4" x14ac:dyDescent="0.2">
      <c r="A6629">
        <v>6624</v>
      </c>
      <c r="B6629" s="14">
        <f>'EstExp 12-20'!G54</f>
        <v>0</v>
      </c>
      <c r="C6629" s="5">
        <f t="shared" si="81"/>
        <v>6624</v>
      </c>
      <c r="D6629" s="5" t="s">
        <v>162</v>
      </c>
    </row>
    <row r="6630" spans="1:4" x14ac:dyDescent="0.2">
      <c r="A6630">
        <v>6625</v>
      </c>
      <c r="B6630" s="14">
        <f>'EstExp 12-20'!H54</f>
        <v>0</v>
      </c>
      <c r="C6630" s="5">
        <f t="shared" si="81"/>
        <v>6625</v>
      </c>
      <c r="D6630" s="5" t="s">
        <v>162</v>
      </c>
    </row>
    <row r="6631" spans="1:4" x14ac:dyDescent="0.2">
      <c r="A6631">
        <v>6626</v>
      </c>
      <c r="B6631" s="14">
        <f>'EstExp 12-20'!I54</f>
        <v>0</v>
      </c>
      <c r="C6631" s="5">
        <f t="shared" si="81"/>
        <v>6626</v>
      </c>
      <c r="D6631" s="5" t="s">
        <v>162</v>
      </c>
    </row>
    <row r="6632" spans="1:4" x14ac:dyDescent="0.2">
      <c r="A6632">
        <v>6627</v>
      </c>
      <c r="B6632" s="14">
        <f>'EstExp 12-20'!J54</f>
        <v>0</v>
      </c>
      <c r="C6632" s="5">
        <f t="shared" si="81"/>
        <v>6627</v>
      </c>
      <c r="D6632" s="5" t="s">
        <v>162</v>
      </c>
    </row>
    <row r="6633" spans="1:4" x14ac:dyDescent="0.2">
      <c r="A6633">
        <v>6628</v>
      </c>
      <c r="B6633" s="14">
        <f>'EstExp 12-20'!K54</f>
        <v>0</v>
      </c>
      <c r="C6633" s="5">
        <f t="shared" si="81"/>
        <v>6628</v>
      </c>
      <c r="D6633" s="5" t="s">
        <v>162</v>
      </c>
    </row>
    <row r="6634" spans="1:4" x14ac:dyDescent="0.2">
      <c r="A6634">
        <v>6629</v>
      </c>
      <c r="B6634" s="14">
        <f>'EstExp 12-20'!L54</f>
        <v>0</v>
      </c>
      <c r="C6634" s="5">
        <f t="shared" si="81"/>
        <v>6629</v>
      </c>
      <c r="D6634" s="5" t="s">
        <v>162</v>
      </c>
    </row>
    <row r="6635" spans="1:4" x14ac:dyDescent="0.2">
      <c r="A6635">
        <v>6630</v>
      </c>
      <c r="B6635" s="14">
        <f>'EstExp 12-20'!I112</f>
        <v>0</v>
      </c>
      <c r="C6635" s="5">
        <f t="shared" si="81"/>
        <v>6630</v>
      </c>
      <c r="D6635" s="5" t="s">
        <v>162</v>
      </c>
    </row>
    <row r="6636" spans="1:4" x14ac:dyDescent="0.2">
      <c r="A6636">
        <v>6631</v>
      </c>
      <c r="B6636" s="14">
        <f>'EstExp 12-20'!L112</f>
        <v>0</v>
      </c>
      <c r="C6636" s="5">
        <f t="shared" si="81"/>
        <v>6631</v>
      </c>
      <c r="D6636" s="5" t="s">
        <v>162</v>
      </c>
    </row>
    <row r="6637" spans="1:4" x14ac:dyDescent="0.2">
      <c r="A6637">
        <v>6632</v>
      </c>
      <c r="B6637" s="14">
        <f>'EstExp 12-20'!I113</f>
        <v>0</v>
      </c>
      <c r="C6637" s="5">
        <f t="shared" si="81"/>
        <v>6632</v>
      </c>
      <c r="D6637" s="5" t="s">
        <v>162</v>
      </c>
    </row>
    <row r="6638" spans="1:4" x14ac:dyDescent="0.2">
      <c r="A6638">
        <v>6633</v>
      </c>
      <c r="B6638" s="14">
        <f>'EstExp 12-20'!L113</f>
        <v>0</v>
      </c>
      <c r="C6638" s="5">
        <f t="shared" si="81"/>
        <v>6633</v>
      </c>
      <c r="D6638" s="5" t="s">
        <v>162</v>
      </c>
    </row>
    <row r="6639" spans="1:4" x14ac:dyDescent="0.2">
      <c r="A6639">
        <v>6634</v>
      </c>
      <c r="B6639" s="14">
        <f>'EstExp 12-20'!I151</f>
        <v>0</v>
      </c>
      <c r="C6639" s="5">
        <f t="shared" si="81"/>
        <v>6634</v>
      </c>
      <c r="D6639" s="5" t="s">
        <v>162</v>
      </c>
    </row>
    <row r="6640" spans="1:4" x14ac:dyDescent="0.2">
      <c r="A6640">
        <v>6635</v>
      </c>
      <c r="B6640" s="14">
        <f>'EstExp 12-20'!L151</f>
        <v>0</v>
      </c>
      <c r="C6640" s="5">
        <f t="shared" si="81"/>
        <v>6635</v>
      </c>
      <c r="D6640" s="5" t="s">
        <v>162</v>
      </c>
    </row>
    <row r="6641" spans="1:4" x14ac:dyDescent="0.2">
      <c r="A6641">
        <v>6636</v>
      </c>
      <c r="B6641" s="14">
        <f>'EstExp 12-20'!I152</f>
        <v>0</v>
      </c>
      <c r="C6641" s="5">
        <f t="shared" si="81"/>
        <v>6636</v>
      </c>
      <c r="D6641" s="5" t="s">
        <v>162</v>
      </c>
    </row>
    <row r="6642" spans="1:4" x14ac:dyDescent="0.2">
      <c r="A6642">
        <v>6637</v>
      </c>
      <c r="B6642" s="14">
        <f>'EstExp 12-20'!L152</f>
        <v>0</v>
      </c>
      <c r="C6642" s="5">
        <f t="shared" si="81"/>
        <v>6637</v>
      </c>
      <c r="D6642" s="5" t="s">
        <v>162</v>
      </c>
    </row>
    <row r="6643" spans="1:4" x14ac:dyDescent="0.2">
      <c r="A6643">
        <v>6638</v>
      </c>
      <c r="B6643" s="14">
        <f>'EstExp 12-20'!I209</f>
        <v>0</v>
      </c>
      <c r="C6643" s="5">
        <f t="shared" si="81"/>
        <v>6638</v>
      </c>
      <c r="D6643" s="5" t="s">
        <v>162</v>
      </c>
    </row>
    <row r="6644" spans="1:4" x14ac:dyDescent="0.2">
      <c r="A6644">
        <v>6639</v>
      </c>
      <c r="B6644" s="14">
        <f>'EstExp 12-20'!L209</f>
        <v>0</v>
      </c>
      <c r="C6644" s="5">
        <f t="shared" si="81"/>
        <v>6639</v>
      </c>
      <c r="D6644" s="5" t="s">
        <v>162</v>
      </c>
    </row>
    <row r="6645" spans="1:4" x14ac:dyDescent="0.2">
      <c r="A6645">
        <v>6640</v>
      </c>
      <c r="B6645" s="14">
        <f>'EstExp 12-20'!I211</f>
        <v>0</v>
      </c>
      <c r="C6645" s="5">
        <f t="shared" si="81"/>
        <v>6640</v>
      </c>
      <c r="D6645" s="5" t="s">
        <v>162</v>
      </c>
    </row>
    <row r="6646" spans="1:4" x14ac:dyDescent="0.2">
      <c r="A6646">
        <v>6641</v>
      </c>
      <c r="B6646" s="14">
        <f>'EstExp 12-20'!L211</f>
        <v>0</v>
      </c>
      <c r="C6646" s="5">
        <f t="shared" si="81"/>
        <v>6641</v>
      </c>
      <c r="D6646" s="5" t="s">
        <v>162</v>
      </c>
    </row>
    <row r="6647" spans="1:4" x14ac:dyDescent="0.2">
      <c r="A6647" s="3">
        <v>6642</v>
      </c>
      <c r="D6647" s="5" t="s">
        <v>162</v>
      </c>
    </row>
    <row r="6648" spans="1:4" x14ac:dyDescent="0.2">
      <c r="A6648" s="3">
        <v>6643</v>
      </c>
      <c r="D6648" s="5" t="s">
        <v>162</v>
      </c>
    </row>
    <row r="6649" spans="1:4" x14ac:dyDescent="0.2">
      <c r="A6649" s="3">
        <v>6644</v>
      </c>
      <c r="D6649" s="5" t="s">
        <v>162</v>
      </c>
    </row>
    <row r="6650" spans="1:4" x14ac:dyDescent="0.2">
      <c r="A6650" s="3">
        <v>6645</v>
      </c>
      <c r="D6650" s="5" t="s">
        <v>162</v>
      </c>
    </row>
    <row r="6651" spans="1:4" x14ac:dyDescent="0.2">
      <c r="A6651" s="3">
        <v>6646</v>
      </c>
      <c r="D6651" s="5" t="s">
        <v>162</v>
      </c>
    </row>
    <row r="6652" spans="1:4" x14ac:dyDescent="0.2">
      <c r="A6652" s="3">
        <v>6647</v>
      </c>
      <c r="D6652" s="5" t="s">
        <v>162</v>
      </c>
    </row>
    <row r="6653" spans="1:4" x14ac:dyDescent="0.2">
      <c r="A6653" s="3">
        <v>6648</v>
      </c>
      <c r="D6653" s="5" t="s">
        <v>162</v>
      </c>
    </row>
    <row r="6654" spans="1:4" x14ac:dyDescent="0.2">
      <c r="A6654" s="3">
        <v>6649</v>
      </c>
      <c r="D6654" s="5" t="s">
        <v>162</v>
      </c>
    </row>
    <row r="6655" spans="1:4" x14ac:dyDescent="0.2">
      <c r="A6655" s="3">
        <v>6650</v>
      </c>
      <c r="D6655" s="5" t="s">
        <v>162</v>
      </c>
    </row>
    <row r="6656" spans="1:4" x14ac:dyDescent="0.2">
      <c r="A6656" s="3">
        <v>6651</v>
      </c>
      <c r="D6656" s="5" t="s">
        <v>162</v>
      </c>
    </row>
    <row r="6657" spans="1:4" x14ac:dyDescent="0.2">
      <c r="A6657" s="3">
        <v>6652</v>
      </c>
      <c r="D6657" s="5" t="s">
        <v>162</v>
      </c>
    </row>
    <row r="6658" spans="1:4" x14ac:dyDescent="0.2">
      <c r="A6658" s="3">
        <v>6653</v>
      </c>
      <c r="D6658" s="5" t="s">
        <v>162</v>
      </c>
    </row>
    <row r="6659" spans="1:4" x14ac:dyDescent="0.2">
      <c r="A6659" s="3">
        <v>6654</v>
      </c>
      <c r="D6659" s="5" t="s">
        <v>162</v>
      </c>
    </row>
    <row r="6660" spans="1:4" x14ac:dyDescent="0.2">
      <c r="A6660" s="3">
        <v>6655</v>
      </c>
      <c r="D6660" s="5" t="s">
        <v>162</v>
      </c>
    </row>
    <row r="6661" spans="1:4" x14ac:dyDescent="0.2">
      <c r="A6661" s="3">
        <v>6656</v>
      </c>
      <c r="D6661" s="5" t="s">
        <v>162</v>
      </c>
    </row>
    <row r="6662" spans="1:4" x14ac:dyDescent="0.2">
      <c r="A6662" s="3">
        <v>6657</v>
      </c>
      <c r="D6662" s="5" t="s">
        <v>162</v>
      </c>
    </row>
    <row r="6663" spans="1:4" x14ac:dyDescent="0.2">
      <c r="A6663" s="3">
        <v>6658</v>
      </c>
      <c r="D6663" s="5" t="s">
        <v>162</v>
      </c>
    </row>
    <row r="6664" spans="1:4" x14ac:dyDescent="0.2">
      <c r="A6664" s="3">
        <v>6659</v>
      </c>
      <c r="D6664" s="5" t="s">
        <v>162</v>
      </c>
    </row>
    <row r="6665" spans="1:4" x14ac:dyDescent="0.2">
      <c r="A6665">
        <v>6660</v>
      </c>
      <c r="B6665" s="14">
        <f>'EstExp 12-20'!I448</f>
        <v>0</v>
      </c>
      <c r="C6665" s="5">
        <f t="shared" ref="C6665:C6727" si="82">A6665-B6665</f>
        <v>6660</v>
      </c>
      <c r="D6665" s="5" t="s">
        <v>162</v>
      </c>
    </row>
    <row r="6666" spans="1:4" x14ac:dyDescent="0.2">
      <c r="A6666">
        <v>6661</v>
      </c>
      <c r="B6666" s="14">
        <f>'EstExp 12-20'!L448</f>
        <v>0</v>
      </c>
      <c r="C6666" s="5">
        <f t="shared" si="82"/>
        <v>6661</v>
      </c>
      <c r="D6666" s="5" t="s">
        <v>162</v>
      </c>
    </row>
    <row r="6667" spans="1:4" x14ac:dyDescent="0.2">
      <c r="A6667">
        <v>6662</v>
      </c>
      <c r="B6667" s="14">
        <f>'EstExp 12-20'!I449</f>
        <v>0</v>
      </c>
      <c r="C6667" s="5">
        <f t="shared" si="82"/>
        <v>6662</v>
      </c>
      <c r="D6667" s="5" t="s">
        <v>162</v>
      </c>
    </row>
    <row r="6668" spans="1:4" x14ac:dyDescent="0.2">
      <c r="A6668">
        <v>6663</v>
      </c>
      <c r="B6668" s="14">
        <f>'EstExp 12-20'!L449</f>
        <v>0</v>
      </c>
      <c r="C6668" s="5">
        <f t="shared" si="82"/>
        <v>6663</v>
      </c>
      <c r="D6668" s="5" t="s">
        <v>162</v>
      </c>
    </row>
    <row r="6669" spans="1:4" x14ac:dyDescent="0.2">
      <c r="A6669">
        <v>6664</v>
      </c>
      <c r="B6669" s="14">
        <f>'EstRev 6-11'!D225</f>
        <v>0</v>
      </c>
      <c r="C6669" s="5">
        <f t="shared" si="82"/>
        <v>6664</v>
      </c>
      <c r="D6669" s="5" t="s">
        <v>162</v>
      </c>
    </row>
    <row r="6670" spans="1:4" x14ac:dyDescent="0.2">
      <c r="A6670">
        <v>6665</v>
      </c>
      <c r="B6670" s="14">
        <f>'EstRev 6-11'!D226</f>
        <v>0</v>
      </c>
      <c r="C6670" s="5">
        <f t="shared" si="82"/>
        <v>6665</v>
      </c>
      <c r="D6670" s="5" t="s">
        <v>162</v>
      </c>
    </row>
    <row r="6671" spans="1:4" x14ac:dyDescent="0.2">
      <c r="A6671">
        <v>6666</v>
      </c>
      <c r="B6671" s="14">
        <f>'EstRev 6-11'!D227</f>
        <v>0</v>
      </c>
      <c r="C6671" s="5">
        <f t="shared" si="82"/>
        <v>6666</v>
      </c>
      <c r="D6671" s="5" t="s">
        <v>162</v>
      </c>
    </row>
    <row r="6672" spans="1:4" x14ac:dyDescent="0.2">
      <c r="A6672">
        <v>6667</v>
      </c>
      <c r="B6672" s="14">
        <f>'EstRev 6-11'!D228</f>
        <v>0</v>
      </c>
      <c r="C6672" s="5">
        <f t="shared" si="82"/>
        <v>6667</v>
      </c>
      <c r="D6672" s="5" t="s">
        <v>162</v>
      </c>
    </row>
    <row r="6673" spans="1:4" x14ac:dyDescent="0.2">
      <c r="A6673">
        <v>6668</v>
      </c>
      <c r="B6673" s="14">
        <f>'EstRev 6-11'!D229</f>
        <v>0</v>
      </c>
      <c r="C6673" s="5">
        <f t="shared" si="82"/>
        <v>6668</v>
      </c>
      <c r="D6673" s="5" t="s">
        <v>162</v>
      </c>
    </row>
    <row r="6674" spans="1:4" x14ac:dyDescent="0.2">
      <c r="A6674">
        <v>6669</v>
      </c>
      <c r="B6674" s="14">
        <f>'EstRev 6-11'!D230</f>
        <v>0</v>
      </c>
      <c r="C6674" s="5">
        <f t="shared" si="82"/>
        <v>6669</v>
      </c>
      <c r="D6674" s="5" t="s">
        <v>162</v>
      </c>
    </row>
    <row r="6675" spans="1:4" x14ac:dyDescent="0.2">
      <c r="A6675">
        <v>6670</v>
      </c>
      <c r="B6675" s="14">
        <f>'EstRev 6-11'!D231</f>
        <v>0</v>
      </c>
      <c r="C6675" s="5">
        <f t="shared" si="82"/>
        <v>6670</v>
      </c>
      <c r="D6675" s="5" t="s">
        <v>162</v>
      </c>
    </row>
    <row r="6676" spans="1:4" x14ac:dyDescent="0.2">
      <c r="A6676">
        <v>6671</v>
      </c>
      <c r="B6676" s="14">
        <f>'EstRev 6-11'!D232</f>
        <v>0</v>
      </c>
      <c r="C6676" s="5">
        <f t="shared" si="82"/>
        <v>6671</v>
      </c>
      <c r="D6676" s="5" t="s">
        <v>162</v>
      </c>
    </row>
    <row r="6677" spans="1:4" x14ac:dyDescent="0.2">
      <c r="A6677">
        <v>6672</v>
      </c>
      <c r="B6677" s="14">
        <f>'EstRev 6-11'!D233</f>
        <v>0</v>
      </c>
      <c r="C6677" s="5">
        <f t="shared" si="82"/>
        <v>6672</v>
      </c>
      <c r="D6677" s="5" t="s">
        <v>162</v>
      </c>
    </row>
    <row r="6678" spans="1:4" x14ac:dyDescent="0.2">
      <c r="A6678">
        <v>6673</v>
      </c>
      <c r="B6678" s="14">
        <f>'EstRev 6-11'!D234</f>
        <v>0</v>
      </c>
      <c r="C6678" s="5">
        <f t="shared" si="82"/>
        <v>6673</v>
      </c>
      <c r="D6678" s="5" t="s">
        <v>162</v>
      </c>
    </row>
    <row r="6679" spans="1:4" x14ac:dyDescent="0.2">
      <c r="A6679">
        <v>6674</v>
      </c>
      <c r="B6679" s="14">
        <f>'EstRev 6-11'!D235</f>
        <v>0</v>
      </c>
      <c r="C6679" s="5">
        <f t="shared" si="82"/>
        <v>6674</v>
      </c>
      <c r="D6679" s="5" t="s">
        <v>162</v>
      </c>
    </row>
    <row r="6680" spans="1:4" x14ac:dyDescent="0.2">
      <c r="A6680">
        <v>6675</v>
      </c>
      <c r="B6680" s="14">
        <f>'EstRev 6-11'!D236</f>
        <v>0</v>
      </c>
      <c r="C6680" s="5">
        <f t="shared" si="82"/>
        <v>6675</v>
      </c>
      <c r="D6680" s="5" t="s">
        <v>162</v>
      </c>
    </row>
    <row r="6681" spans="1:4" x14ac:dyDescent="0.2">
      <c r="A6681">
        <v>6676</v>
      </c>
      <c r="B6681" s="14">
        <f>'EstRev 6-11'!D237</f>
        <v>0</v>
      </c>
      <c r="C6681" s="5">
        <f t="shared" si="82"/>
        <v>6676</v>
      </c>
      <c r="D6681" s="5" t="s">
        <v>162</v>
      </c>
    </row>
    <row r="6682" spans="1:4" x14ac:dyDescent="0.2">
      <c r="A6682">
        <v>6677</v>
      </c>
      <c r="B6682" s="14">
        <f>'EstRev 6-11'!D238</f>
        <v>0</v>
      </c>
      <c r="C6682" s="5">
        <f t="shared" si="82"/>
        <v>6677</v>
      </c>
      <c r="D6682" s="5" t="s">
        <v>162</v>
      </c>
    </row>
    <row r="6683" spans="1:4" x14ac:dyDescent="0.2">
      <c r="A6683">
        <v>6678</v>
      </c>
      <c r="B6683" s="14">
        <f>'EstRev 6-11'!D239</f>
        <v>0</v>
      </c>
      <c r="C6683" s="5">
        <f t="shared" si="82"/>
        <v>6678</v>
      </c>
      <c r="D6683" s="5" t="s">
        <v>162</v>
      </c>
    </row>
    <row r="6684" spans="1:4" x14ac:dyDescent="0.2">
      <c r="A6684">
        <v>6679</v>
      </c>
      <c r="B6684" s="14">
        <f>'EstRev 6-11'!D240</f>
        <v>0</v>
      </c>
      <c r="C6684" s="5">
        <f t="shared" si="82"/>
        <v>6679</v>
      </c>
      <c r="D6684" s="5" t="s">
        <v>162</v>
      </c>
    </row>
    <row r="6685" spans="1:4" x14ac:dyDescent="0.2">
      <c r="A6685">
        <v>6680</v>
      </c>
      <c r="B6685" s="14">
        <f>'EstRev 6-11'!D241</f>
        <v>0</v>
      </c>
      <c r="C6685" s="5">
        <f t="shared" si="82"/>
        <v>6680</v>
      </c>
      <c r="D6685" s="5" t="s">
        <v>162</v>
      </c>
    </row>
    <row r="6686" spans="1:4" x14ac:dyDescent="0.2">
      <c r="A6686">
        <v>6681</v>
      </c>
      <c r="B6686" s="14">
        <f>'EstRev 6-11'!D242</f>
        <v>0</v>
      </c>
      <c r="C6686" s="5">
        <f t="shared" si="82"/>
        <v>6681</v>
      </c>
      <c r="D6686" s="5" t="s">
        <v>162</v>
      </c>
    </row>
    <row r="6687" spans="1:4" x14ac:dyDescent="0.2">
      <c r="A6687">
        <v>6682</v>
      </c>
      <c r="B6687" s="14">
        <f>'EstRev 6-11'!D243</f>
        <v>0</v>
      </c>
      <c r="C6687" s="5">
        <f t="shared" si="82"/>
        <v>6682</v>
      </c>
      <c r="D6687" s="5" t="s">
        <v>162</v>
      </c>
    </row>
    <row r="6688" spans="1:4" x14ac:dyDescent="0.2">
      <c r="A6688">
        <v>6683</v>
      </c>
      <c r="B6688" s="14">
        <f>'EstRev 6-11'!D244</f>
        <v>0</v>
      </c>
      <c r="C6688" s="5">
        <f t="shared" si="82"/>
        <v>6683</v>
      </c>
      <c r="D6688" s="5" t="s">
        <v>162</v>
      </c>
    </row>
    <row r="6689" spans="1:4" x14ac:dyDescent="0.2">
      <c r="A6689">
        <v>6684</v>
      </c>
      <c r="B6689" s="14">
        <f>'EstRev 6-11'!D245</f>
        <v>0</v>
      </c>
      <c r="C6689" s="5">
        <f t="shared" si="82"/>
        <v>6684</v>
      </c>
      <c r="D6689" s="5" t="s">
        <v>162</v>
      </c>
    </row>
    <row r="6690" spans="1:4" x14ac:dyDescent="0.2">
      <c r="A6690">
        <v>6685</v>
      </c>
      <c r="B6690" s="14">
        <f>'EstRev 6-11'!D246</f>
        <v>0</v>
      </c>
      <c r="C6690" s="5">
        <f t="shared" si="82"/>
        <v>6685</v>
      </c>
      <c r="D6690" s="5" t="s">
        <v>162</v>
      </c>
    </row>
    <row r="6691" spans="1:4" x14ac:dyDescent="0.2">
      <c r="A6691">
        <v>6686</v>
      </c>
      <c r="B6691" s="14">
        <f>'EstRev 6-11'!D247</f>
        <v>0</v>
      </c>
      <c r="C6691" s="5">
        <f t="shared" si="82"/>
        <v>6686</v>
      </c>
      <c r="D6691" s="5" t="s">
        <v>162</v>
      </c>
    </row>
    <row r="6692" spans="1:4" x14ac:dyDescent="0.2">
      <c r="A6692">
        <v>6687</v>
      </c>
      <c r="B6692" s="14">
        <f>'EstRev 6-11'!D248</f>
        <v>0</v>
      </c>
      <c r="C6692" s="5">
        <f t="shared" si="82"/>
        <v>6687</v>
      </c>
      <c r="D6692" s="5" t="s">
        <v>162</v>
      </c>
    </row>
    <row r="6693" spans="1:4" x14ac:dyDescent="0.2">
      <c r="A6693">
        <v>6688</v>
      </c>
      <c r="B6693" s="14">
        <f>'EstRev 6-11'!D249</f>
        <v>0</v>
      </c>
      <c r="C6693" s="5">
        <f t="shared" si="82"/>
        <v>6688</v>
      </c>
      <c r="D6693" s="5" t="s">
        <v>162</v>
      </c>
    </row>
    <row r="6694" spans="1:4" x14ac:dyDescent="0.2">
      <c r="A6694">
        <v>6689</v>
      </c>
      <c r="B6694" s="14">
        <f>'EstRev 6-11'!D250</f>
        <v>0</v>
      </c>
      <c r="C6694" s="5">
        <f t="shared" si="82"/>
        <v>6689</v>
      </c>
      <c r="D6694" s="5" t="s">
        <v>162</v>
      </c>
    </row>
    <row r="6695" spans="1:4" x14ac:dyDescent="0.2">
      <c r="A6695">
        <v>6690</v>
      </c>
      <c r="B6695" s="14">
        <f>'EstRev 6-11'!D251</f>
        <v>0</v>
      </c>
      <c r="C6695" s="5">
        <f t="shared" si="82"/>
        <v>6690</v>
      </c>
      <c r="D6695" s="5" t="s">
        <v>162</v>
      </c>
    </row>
    <row r="6696" spans="1:4" x14ac:dyDescent="0.2">
      <c r="A6696">
        <v>6691</v>
      </c>
      <c r="B6696" s="14">
        <f>'EstRev 6-11'!D252</f>
        <v>0</v>
      </c>
      <c r="C6696" s="5">
        <f t="shared" si="82"/>
        <v>6691</v>
      </c>
      <c r="D6696" s="5" t="s">
        <v>162</v>
      </c>
    </row>
    <row r="6697" spans="1:4" x14ac:dyDescent="0.2">
      <c r="A6697">
        <v>6692</v>
      </c>
      <c r="B6697" s="14">
        <f>'EstRev 6-11'!D253</f>
        <v>0</v>
      </c>
      <c r="C6697" s="5">
        <f t="shared" si="82"/>
        <v>6692</v>
      </c>
      <c r="D6697" s="5" t="s">
        <v>162</v>
      </c>
    </row>
    <row r="6698" spans="1:4" x14ac:dyDescent="0.2">
      <c r="A6698">
        <v>6693</v>
      </c>
      <c r="B6698" s="14">
        <f>'EstRev 6-11'!D254</f>
        <v>0</v>
      </c>
      <c r="C6698" s="5">
        <f t="shared" si="82"/>
        <v>6693</v>
      </c>
      <c r="D6698" s="5" t="s">
        <v>162</v>
      </c>
    </row>
    <row r="6699" spans="1:4" x14ac:dyDescent="0.2">
      <c r="A6699">
        <v>6694</v>
      </c>
      <c r="B6699" s="14">
        <f>'EstRev 6-11'!E225</f>
        <v>0</v>
      </c>
      <c r="C6699" s="5">
        <f t="shared" si="82"/>
        <v>6694</v>
      </c>
      <c r="D6699" s="5" t="s">
        <v>162</v>
      </c>
    </row>
    <row r="6700" spans="1:4" x14ac:dyDescent="0.2">
      <c r="A6700">
        <v>6695</v>
      </c>
      <c r="B6700" s="14">
        <f>'EstRev 6-11'!E226</f>
        <v>0</v>
      </c>
      <c r="C6700" s="5">
        <f t="shared" si="82"/>
        <v>6695</v>
      </c>
      <c r="D6700" s="5" t="s">
        <v>162</v>
      </c>
    </row>
    <row r="6701" spans="1:4" x14ac:dyDescent="0.2">
      <c r="A6701">
        <v>6696</v>
      </c>
      <c r="B6701" s="14">
        <f>'EstRev 6-11'!E227</f>
        <v>0</v>
      </c>
      <c r="C6701" s="5">
        <f t="shared" si="82"/>
        <v>6696</v>
      </c>
      <c r="D6701" s="5" t="s">
        <v>162</v>
      </c>
    </row>
    <row r="6702" spans="1:4" x14ac:dyDescent="0.2">
      <c r="A6702">
        <v>6697</v>
      </c>
      <c r="B6702" s="14">
        <f>'EstRev 6-11'!E228</f>
        <v>0</v>
      </c>
      <c r="C6702" s="5">
        <f t="shared" si="82"/>
        <v>6697</v>
      </c>
      <c r="D6702" s="5" t="s">
        <v>162</v>
      </c>
    </row>
    <row r="6703" spans="1:4" x14ac:dyDescent="0.2">
      <c r="A6703">
        <v>6698</v>
      </c>
      <c r="B6703" s="14">
        <f>'EstRev 6-11'!E229</f>
        <v>0</v>
      </c>
      <c r="C6703" s="5">
        <f t="shared" si="82"/>
        <v>6698</v>
      </c>
      <c r="D6703" s="5" t="s">
        <v>162</v>
      </c>
    </row>
    <row r="6704" spans="1:4" x14ac:dyDescent="0.2">
      <c r="A6704" s="3">
        <v>6699</v>
      </c>
    </row>
    <row r="6705" spans="1:4" x14ac:dyDescent="0.2">
      <c r="A6705">
        <v>6700</v>
      </c>
      <c r="B6705" s="14">
        <f>'EstRev 6-11'!E230</f>
        <v>0</v>
      </c>
      <c r="C6705" s="5">
        <f t="shared" si="82"/>
        <v>6700</v>
      </c>
      <c r="D6705" s="5" t="s">
        <v>162</v>
      </c>
    </row>
    <row r="6706" spans="1:4" x14ac:dyDescent="0.2">
      <c r="A6706">
        <v>6701</v>
      </c>
      <c r="B6706" s="14">
        <f>'EstRev 6-11'!E231</f>
        <v>0</v>
      </c>
      <c r="C6706" s="5">
        <f t="shared" si="82"/>
        <v>6701</v>
      </c>
      <c r="D6706" s="5" t="s">
        <v>162</v>
      </c>
    </row>
    <row r="6707" spans="1:4" x14ac:dyDescent="0.2">
      <c r="A6707">
        <v>6702</v>
      </c>
      <c r="B6707" s="14">
        <f>'EstRev 6-11'!E232</f>
        <v>0</v>
      </c>
      <c r="C6707" s="5">
        <f t="shared" si="82"/>
        <v>6702</v>
      </c>
      <c r="D6707" s="5" t="s">
        <v>162</v>
      </c>
    </row>
    <row r="6708" spans="1:4" x14ac:dyDescent="0.2">
      <c r="A6708">
        <v>6703</v>
      </c>
      <c r="B6708" s="14">
        <f>'EstRev 6-11'!E233</f>
        <v>0</v>
      </c>
      <c r="C6708" s="5">
        <f t="shared" si="82"/>
        <v>6703</v>
      </c>
      <c r="D6708" s="5" t="s">
        <v>162</v>
      </c>
    </row>
    <row r="6709" spans="1:4" x14ac:dyDescent="0.2">
      <c r="A6709">
        <v>6704</v>
      </c>
      <c r="B6709" s="14">
        <f>'EstRev 6-11'!E234</f>
        <v>0</v>
      </c>
      <c r="C6709" s="5">
        <f t="shared" si="82"/>
        <v>6704</v>
      </c>
      <c r="D6709" s="5" t="s">
        <v>162</v>
      </c>
    </row>
    <row r="6710" spans="1:4" x14ac:dyDescent="0.2">
      <c r="A6710">
        <v>6705</v>
      </c>
      <c r="B6710" s="14">
        <f>'EstRev 6-11'!E235</f>
        <v>0</v>
      </c>
      <c r="C6710" s="5">
        <f t="shared" si="82"/>
        <v>6705</v>
      </c>
      <c r="D6710" s="5" t="s">
        <v>162</v>
      </c>
    </row>
    <row r="6711" spans="1:4" x14ac:dyDescent="0.2">
      <c r="A6711">
        <v>6706</v>
      </c>
      <c r="B6711" s="14">
        <f>'EstRev 6-11'!E236</f>
        <v>0</v>
      </c>
      <c r="C6711" s="5">
        <f t="shared" si="82"/>
        <v>6706</v>
      </c>
      <c r="D6711" s="5" t="s">
        <v>162</v>
      </c>
    </row>
    <row r="6712" spans="1:4" x14ac:dyDescent="0.2">
      <c r="A6712">
        <v>6707</v>
      </c>
      <c r="B6712" s="14">
        <f>'EstRev 6-11'!E237</f>
        <v>0</v>
      </c>
      <c r="C6712" s="5">
        <f t="shared" si="82"/>
        <v>6707</v>
      </c>
      <c r="D6712" s="5" t="s">
        <v>162</v>
      </c>
    </row>
    <row r="6713" spans="1:4" x14ac:dyDescent="0.2">
      <c r="A6713">
        <v>6708</v>
      </c>
      <c r="B6713" s="14">
        <f>'EstRev 6-11'!E238</f>
        <v>0</v>
      </c>
      <c r="C6713" s="5">
        <f t="shared" si="82"/>
        <v>6708</v>
      </c>
      <c r="D6713" s="5" t="s">
        <v>162</v>
      </c>
    </row>
    <row r="6714" spans="1:4" x14ac:dyDescent="0.2">
      <c r="A6714">
        <v>6709</v>
      </c>
      <c r="B6714" s="14">
        <f>'EstRev 6-11'!E239</f>
        <v>0</v>
      </c>
      <c r="C6714" s="5">
        <f t="shared" si="82"/>
        <v>6709</v>
      </c>
      <c r="D6714" s="5" t="s">
        <v>162</v>
      </c>
    </row>
    <row r="6715" spans="1:4" x14ac:dyDescent="0.2">
      <c r="A6715">
        <v>6710</v>
      </c>
      <c r="B6715" s="14">
        <f>'EstRev 6-11'!E240</f>
        <v>0</v>
      </c>
      <c r="C6715" s="5">
        <f t="shared" si="82"/>
        <v>6710</v>
      </c>
      <c r="D6715" s="5" t="s">
        <v>162</v>
      </c>
    </row>
    <row r="6716" spans="1:4" x14ac:dyDescent="0.2">
      <c r="A6716">
        <v>6711</v>
      </c>
      <c r="B6716" s="14">
        <f>'EstRev 6-11'!E241</f>
        <v>0</v>
      </c>
      <c r="C6716" s="5">
        <f t="shared" si="82"/>
        <v>6711</v>
      </c>
      <c r="D6716" s="5" t="s">
        <v>162</v>
      </c>
    </row>
    <row r="6717" spans="1:4" x14ac:dyDescent="0.2">
      <c r="A6717">
        <v>6712</v>
      </c>
      <c r="B6717" s="14">
        <f>'EstRev 6-11'!E242</f>
        <v>0</v>
      </c>
      <c r="C6717" s="5">
        <f t="shared" si="82"/>
        <v>6712</v>
      </c>
      <c r="D6717" s="5" t="s">
        <v>162</v>
      </c>
    </row>
    <row r="6718" spans="1:4" x14ac:dyDescent="0.2">
      <c r="A6718">
        <v>6713</v>
      </c>
      <c r="B6718" s="14">
        <f>'EstRev 6-11'!E243</f>
        <v>0</v>
      </c>
      <c r="C6718" s="5">
        <f t="shared" si="82"/>
        <v>6713</v>
      </c>
      <c r="D6718" s="5" t="s">
        <v>162</v>
      </c>
    </row>
    <row r="6719" spans="1:4" x14ac:dyDescent="0.2">
      <c r="A6719">
        <v>6714</v>
      </c>
      <c r="B6719" s="14">
        <f>'EstRev 6-11'!E244</f>
        <v>0</v>
      </c>
      <c r="C6719" s="5">
        <f t="shared" si="82"/>
        <v>6714</v>
      </c>
      <c r="D6719" s="5" t="s">
        <v>162</v>
      </c>
    </row>
    <row r="6720" spans="1:4" x14ac:dyDescent="0.2">
      <c r="A6720">
        <v>6715</v>
      </c>
      <c r="B6720" s="14">
        <f>'EstRev 6-11'!E245</f>
        <v>0</v>
      </c>
      <c r="C6720" s="5">
        <f t="shared" si="82"/>
        <v>6715</v>
      </c>
      <c r="D6720" s="5" t="s">
        <v>162</v>
      </c>
    </row>
    <row r="6721" spans="1:4" x14ac:dyDescent="0.2">
      <c r="A6721">
        <v>6716</v>
      </c>
      <c r="B6721" s="14">
        <f>'EstRev 6-11'!E246</f>
        <v>0</v>
      </c>
      <c r="C6721" s="5">
        <f t="shared" si="82"/>
        <v>6716</v>
      </c>
      <c r="D6721" s="5" t="s">
        <v>162</v>
      </c>
    </row>
    <row r="6722" spans="1:4" x14ac:dyDescent="0.2">
      <c r="A6722">
        <v>6717</v>
      </c>
      <c r="B6722" s="14">
        <f>'EstRev 6-11'!E247</f>
        <v>0</v>
      </c>
      <c r="C6722" s="5">
        <f t="shared" si="82"/>
        <v>6717</v>
      </c>
      <c r="D6722" s="5" t="s">
        <v>162</v>
      </c>
    </row>
    <row r="6723" spans="1:4" x14ac:dyDescent="0.2">
      <c r="A6723">
        <v>6718</v>
      </c>
      <c r="B6723" s="14">
        <f>'EstRev 6-11'!E248</f>
        <v>0</v>
      </c>
      <c r="C6723" s="5">
        <f t="shared" si="82"/>
        <v>6718</v>
      </c>
      <c r="D6723" s="5" t="s">
        <v>162</v>
      </c>
    </row>
    <row r="6724" spans="1:4" x14ac:dyDescent="0.2">
      <c r="A6724">
        <v>6719</v>
      </c>
      <c r="B6724" s="14">
        <f>'EstRev 6-11'!E249</f>
        <v>0</v>
      </c>
      <c r="C6724" s="5">
        <f t="shared" si="82"/>
        <v>6719</v>
      </c>
      <c r="D6724" s="5" t="s">
        <v>162</v>
      </c>
    </row>
    <row r="6725" spans="1:4" x14ac:dyDescent="0.2">
      <c r="A6725">
        <v>6720</v>
      </c>
      <c r="B6725" s="14">
        <f>'EstRev 6-11'!E250</f>
        <v>0</v>
      </c>
      <c r="C6725" s="5">
        <f t="shared" si="82"/>
        <v>6720</v>
      </c>
      <c r="D6725" s="5" t="s">
        <v>162</v>
      </c>
    </row>
    <row r="6726" spans="1:4" x14ac:dyDescent="0.2">
      <c r="A6726">
        <v>6721</v>
      </c>
      <c r="B6726" s="14">
        <f>'EstRev 6-11'!E251</f>
        <v>0</v>
      </c>
      <c r="C6726" s="5">
        <f t="shared" si="82"/>
        <v>6721</v>
      </c>
      <c r="D6726" s="5" t="s">
        <v>162</v>
      </c>
    </row>
    <row r="6727" spans="1:4" x14ac:dyDescent="0.2">
      <c r="A6727">
        <v>6722</v>
      </c>
      <c r="B6727" s="14">
        <f>'EstRev 6-11'!E252</f>
        <v>0</v>
      </c>
      <c r="C6727" s="5">
        <f t="shared" si="82"/>
        <v>6722</v>
      </c>
      <c r="D6727" s="5" t="s">
        <v>162</v>
      </c>
    </row>
    <row r="6728" spans="1:4" x14ac:dyDescent="0.2">
      <c r="A6728">
        <v>6723</v>
      </c>
      <c r="B6728" s="14">
        <f>'EstRev 6-11'!E253</f>
        <v>0</v>
      </c>
      <c r="C6728" s="5">
        <f t="shared" ref="C6728:C6791" si="83">A6728-B6728</f>
        <v>6723</v>
      </c>
      <c r="D6728" s="5" t="s">
        <v>162</v>
      </c>
    </row>
    <row r="6729" spans="1:4" x14ac:dyDescent="0.2">
      <c r="A6729">
        <v>6724</v>
      </c>
      <c r="B6729" s="14">
        <f>'EstRev 6-11'!E254</f>
        <v>0</v>
      </c>
      <c r="C6729" s="5">
        <f t="shared" si="83"/>
        <v>6724</v>
      </c>
      <c r="D6729" s="5" t="s">
        <v>162</v>
      </c>
    </row>
    <row r="6730" spans="1:4" x14ac:dyDescent="0.2">
      <c r="A6730">
        <v>6725</v>
      </c>
      <c r="B6730" s="14">
        <f>'EstRev 6-11'!F225</f>
        <v>0</v>
      </c>
      <c r="C6730" s="5">
        <f t="shared" si="83"/>
        <v>6725</v>
      </c>
      <c r="D6730" s="5" t="s">
        <v>162</v>
      </c>
    </row>
    <row r="6731" spans="1:4" x14ac:dyDescent="0.2">
      <c r="A6731" s="3">
        <v>6726</v>
      </c>
      <c r="D6731" s="5" t="s">
        <v>162</v>
      </c>
    </row>
    <row r="6732" spans="1:4" x14ac:dyDescent="0.2">
      <c r="A6732">
        <v>6727</v>
      </c>
      <c r="B6732" s="14">
        <f>'EstRev 6-11'!F227</f>
        <v>0</v>
      </c>
      <c r="C6732" s="5">
        <f t="shared" si="83"/>
        <v>6727</v>
      </c>
      <c r="D6732" s="5" t="s">
        <v>162</v>
      </c>
    </row>
    <row r="6733" spans="1:4" x14ac:dyDescent="0.2">
      <c r="A6733">
        <v>6728</v>
      </c>
      <c r="B6733" s="14">
        <f>'EstRev 6-11'!F228</f>
        <v>0</v>
      </c>
      <c r="C6733" s="5">
        <f t="shared" si="83"/>
        <v>6728</v>
      </c>
      <c r="D6733" s="5" t="s">
        <v>162</v>
      </c>
    </row>
    <row r="6734" spans="1:4" x14ac:dyDescent="0.2">
      <c r="A6734">
        <v>6729</v>
      </c>
      <c r="B6734" s="14">
        <f>'EstRev 6-11'!F229</f>
        <v>0</v>
      </c>
      <c r="C6734" s="5">
        <f t="shared" si="83"/>
        <v>6729</v>
      </c>
      <c r="D6734" s="5" t="s">
        <v>162</v>
      </c>
    </row>
    <row r="6735" spans="1:4" x14ac:dyDescent="0.2">
      <c r="A6735">
        <v>6730</v>
      </c>
      <c r="B6735" s="14">
        <f>'EstRev 6-11'!F230</f>
        <v>0</v>
      </c>
      <c r="C6735" s="5">
        <f t="shared" si="83"/>
        <v>6730</v>
      </c>
      <c r="D6735" s="5" t="s">
        <v>162</v>
      </c>
    </row>
    <row r="6736" spans="1:4" x14ac:dyDescent="0.2">
      <c r="A6736">
        <v>6731</v>
      </c>
      <c r="B6736" s="14">
        <f>'EstRev 6-11'!F231</f>
        <v>0</v>
      </c>
      <c r="C6736" s="5">
        <f t="shared" si="83"/>
        <v>6731</v>
      </c>
      <c r="D6736" s="5" t="s">
        <v>162</v>
      </c>
    </row>
    <row r="6737" spans="1:4" x14ac:dyDescent="0.2">
      <c r="A6737">
        <v>6732</v>
      </c>
      <c r="B6737" s="14">
        <f>'EstRev 6-11'!F232</f>
        <v>0</v>
      </c>
      <c r="C6737" s="5">
        <f t="shared" si="83"/>
        <v>6732</v>
      </c>
      <c r="D6737" s="5" t="s">
        <v>162</v>
      </c>
    </row>
    <row r="6738" spans="1:4" x14ac:dyDescent="0.2">
      <c r="A6738">
        <v>6733</v>
      </c>
      <c r="B6738" s="14">
        <f>'EstRev 6-11'!F233</f>
        <v>0</v>
      </c>
      <c r="C6738" s="5">
        <f t="shared" si="83"/>
        <v>6733</v>
      </c>
      <c r="D6738" s="5" t="s">
        <v>162</v>
      </c>
    </row>
    <row r="6739" spans="1:4" x14ac:dyDescent="0.2">
      <c r="A6739">
        <v>6734</v>
      </c>
      <c r="B6739" s="14">
        <f>'EstRev 6-11'!F234</f>
        <v>0</v>
      </c>
      <c r="C6739" s="5">
        <f t="shared" si="83"/>
        <v>6734</v>
      </c>
      <c r="D6739" s="5" t="s">
        <v>162</v>
      </c>
    </row>
    <row r="6740" spans="1:4" x14ac:dyDescent="0.2">
      <c r="A6740" s="3">
        <v>6735</v>
      </c>
      <c r="D6740" s="5" t="s">
        <v>162</v>
      </c>
    </row>
    <row r="6741" spans="1:4" x14ac:dyDescent="0.2">
      <c r="A6741" s="3">
        <v>6736</v>
      </c>
      <c r="D6741" s="5" t="s">
        <v>162</v>
      </c>
    </row>
    <row r="6742" spans="1:4" x14ac:dyDescent="0.2">
      <c r="A6742">
        <v>6737</v>
      </c>
      <c r="B6742" s="14">
        <f>'EstRev 6-11'!F237</f>
        <v>0</v>
      </c>
      <c r="C6742" s="5">
        <f t="shared" si="83"/>
        <v>6737</v>
      </c>
      <c r="D6742" s="5" t="s">
        <v>162</v>
      </c>
    </row>
    <row r="6743" spans="1:4" x14ac:dyDescent="0.2">
      <c r="A6743">
        <v>6738</v>
      </c>
      <c r="B6743" s="14">
        <f>'EstRev 6-11'!F238</f>
        <v>0</v>
      </c>
      <c r="C6743" s="5">
        <f t="shared" si="83"/>
        <v>6738</v>
      </c>
      <c r="D6743" s="5" t="s">
        <v>162</v>
      </c>
    </row>
    <row r="6744" spans="1:4" x14ac:dyDescent="0.2">
      <c r="A6744">
        <v>6739</v>
      </c>
      <c r="B6744" s="14">
        <f>'EstRev 6-11'!F239</f>
        <v>0</v>
      </c>
      <c r="C6744" s="5">
        <f t="shared" si="83"/>
        <v>6739</v>
      </c>
      <c r="D6744" s="5" t="s">
        <v>162</v>
      </c>
    </row>
    <row r="6745" spans="1:4" x14ac:dyDescent="0.2">
      <c r="A6745">
        <v>6740</v>
      </c>
      <c r="B6745" s="14">
        <f>'EstRev 6-11'!F240</f>
        <v>0</v>
      </c>
      <c r="C6745" s="5">
        <f t="shared" si="83"/>
        <v>6740</v>
      </c>
      <c r="D6745" s="5" t="s">
        <v>162</v>
      </c>
    </row>
    <row r="6746" spans="1:4" x14ac:dyDescent="0.2">
      <c r="A6746">
        <v>6741</v>
      </c>
      <c r="B6746" s="14">
        <f>'EstRev 6-11'!F241</f>
        <v>0</v>
      </c>
      <c r="C6746" s="5">
        <f t="shared" si="83"/>
        <v>6741</v>
      </c>
      <c r="D6746" s="5" t="s">
        <v>162</v>
      </c>
    </row>
    <row r="6747" spans="1:4" x14ac:dyDescent="0.2">
      <c r="A6747">
        <v>6742</v>
      </c>
      <c r="B6747" s="14">
        <f>'EstRev 6-11'!F242</f>
        <v>0</v>
      </c>
      <c r="C6747" s="5">
        <f t="shared" si="83"/>
        <v>6742</v>
      </c>
      <c r="D6747" s="5" t="s">
        <v>162</v>
      </c>
    </row>
    <row r="6748" spans="1:4" x14ac:dyDescent="0.2">
      <c r="A6748">
        <v>6743</v>
      </c>
      <c r="B6748" s="14">
        <f>'EstRev 6-11'!F243</f>
        <v>0</v>
      </c>
      <c r="C6748" s="5">
        <f t="shared" si="83"/>
        <v>6743</v>
      </c>
      <c r="D6748" s="5" t="s">
        <v>162</v>
      </c>
    </row>
    <row r="6749" spans="1:4" x14ac:dyDescent="0.2">
      <c r="A6749">
        <v>6744</v>
      </c>
      <c r="B6749" s="14">
        <f>'EstRev 6-11'!F244</f>
        <v>0</v>
      </c>
      <c r="C6749" s="5">
        <f t="shared" si="83"/>
        <v>6744</v>
      </c>
      <c r="D6749" s="5" t="s">
        <v>162</v>
      </c>
    </row>
    <row r="6750" spans="1:4" x14ac:dyDescent="0.2">
      <c r="A6750">
        <v>6745</v>
      </c>
      <c r="B6750" s="14">
        <f>'EstRev 6-11'!F245</f>
        <v>0</v>
      </c>
      <c r="C6750" s="5">
        <f t="shared" si="83"/>
        <v>6745</v>
      </c>
      <c r="D6750" s="5" t="s">
        <v>162</v>
      </c>
    </row>
    <row r="6751" spans="1:4" x14ac:dyDescent="0.2">
      <c r="A6751">
        <v>6746</v>
      </c>
      <c r="B6751" s="14">
        <f>'EstRev 6-11'!F246</f>
        <v>0</v>
      </c>
      <c r="C6751" s="5">
        <f t="shared" si="83"/>
        <v>6746</v>
      </c>
      <c r="D6751" s="5" t="s">
        <v>162</v>
      </c>
    </row>
    <row r="6752" spans="1:4" x14ac:dyDescent="0.2">
      <c r="A6752">
        <v>6747</v>
      </c>
      <c r="B6752" s="14">
        <f>'EstRev 6-11'!F247</f>
        <v>0</v>
      </c>
      <c r="C6752" s="5">
        <f t="shared" si="83"/>
        <v>6747</v>
      </c>
      <c r="D6752" s="5" t="s">
        <v>162</v>
      </c>
    </row>
    <row r="6753" spans="1:4" x14ac:dyDescent="0.2">
      <c r="A6753">
        <v>6748</v>
      </c>
      <c r="B6753" s="14">
        <f>'EstRev 6-11'!F248</f>
        <v>0</v>
      </c>
      <c r="C6753" s="5">
        <f t="shared" si="83"/>
        <v>6748</v>
      </c>
      <c r="D6753" s="5" t="s">
        <v>162</v>
      </c>
    </row>
    <row r="6754" spans="1:4" x14ac:dyDescent="0.2">
      <c r="A6754">
        <v>6749</v>
      </c>
      <c r="B6754" s="14">
        <f>'EstRev 6-11'!F249</f>
        <v>0</v>
      </c>
      <c r="C6754" s="5">
        <f t="shared" si="83"/>
        <v>6749</v>
      </c>
      <c r="D6754" s="5" t="s">
        <v>162</v>
      </c>
    </row>
    <row r="6755" spans="1:4" x14ac:dyDescent="0.2">
      <c r="A6755">
        <v>6750</v>
      </c>
      <c r="B6755" s="14">
        <f>'EstRev 6-11'!F250</f>
        <v>0</v>
      </c>
      <c r="C6755" s="5">
        <f t="shared" si="83"/>
        <v>6750</v>
      </c>
      <c r="D6755" s="5" t="s">
        <v>162</v>
      </c>
    </row>
    <row r="6756" spans="1:4" x14ac:dyDescent="0.2">
      <c r="A6756">
        <v>6751</v>
      </c>
      <c r="B6756" s="14">
        <f>'EstRev 6-11'!F251</f>
        <v>0</v>
      </c>
      <c r="C6756" s="5">
        <f t="shared" si="83"/>
        <v>6751</v>
      </c>
      <c r="D6756" s="5" t="s">
        <v>162</v>
      </c>
    </row>
    <row r="6757" spans="1:4" x14ac:dyDescent="0.2">
      <c r="A6757">
        <v>6752</v>
      </c>
      <c r="B6757" s="14">
        <f>'EstRev 6-11'!F252</f>
        <v>0</v>
      </c>
      <c r="C6757" s="5">
        <f t="shared" si="83"/>
        <v>6752</v>
      </c>
      <c r="D6757" s="5" t="s">
        <v>162</v>
      </c>
    </row>
    <row r="6758" spans="1:4" x14ac:dyDescent="0.2">
      <c r="A6758">
        <v>6753</v>
      </c>
      <c r="B6758" s="14">
        <f>'EstRev 6-11'!F253</f>
        <v>0</v>
      </c>
      <c r="C6758" s="5">
        <f t="shared" si="83"/>
        <v>6753</v>
      </c>
      <c r="D6758" s="5" t="s">
        <v>162</v>
      </c>
    </row>
    <row r="6759" spans="1:4" x14ac:dyDescent="0.2">
      <c r="A6759">
        <v>6754</v>
      </c>
      <c r="B6759" s="14">
        <f>'EstRev 6-11'!F254</f>
        <v>0</v>
      </c>
      <c r="C6759" s="5">
        <f t="shared" si="83"/>
        <v>6754</v>
      </c>
      <c r="D6759" s="5" t="s">
        <v>162</v>
      </c>
    </row>
    <row r="6760" spans="1:4" x14ac:dyDescent="0.2">
      <c r="A6760">
        <v>6755</v>
      </c>
      <c r="B6760" s="14">
        <f>'EstRev 6-11'!G225</f>
        <v>0</v>
      </c>
      <c r="C6760" s="5">
        <f t="shared" si="83"/>
        <v>6755</v>
      </c>
      <c r="D6760" s="5" t="s">
        <v>162</v>
      </c>
    </row>
    <row r="6761" spans="1:4" x14ac:dyDescent="0.2">
      <c r="A6761">
        <v>6756</v>
      </c>
      <c r="B6761" s="14">
        <f>'EstRev 6-11'!G226</f>
        <v>0</v>
      </c>
      <c r="C6761" s="5">
        <f t="shared" si="83"/>
        <v>6756</v>
      </c>
      <c r="D6761" s="5" t="s">
        <v>162</v>
      </c>
    </row>
    <row r="6762" spans="1:4" x14ac:dyDescent="0.2">
      <c r="A6762">
        <v>6757</v>
      </c>
      <c r="B6762" s="14">
        <f>'EstRev 6-11'!G227</f>
        <v>0</v>
      </c>
      <c r="C6762" s="5">
        <f t="shared" si="83"/>
        <v>6757</v>
      </c>
      <c r="D6762" s="5" t="s">
        <v>162</v>
      </c>
    </row>
    <row r="6763" spans="1:4" x14ac:dyDescent="0.2">
      <c r="A6763">
        <v>6758</v>
      </c>
      <c r="B6763" s="14">
        <f>'EstRev 6-11'!G228</f>
        <v>0</v>
      </c>
      <c r="C6763" s="5">
        <f t="shared" si="83"/>
        <v>6758</v>
      </c>
      <c r="D6763" s="5" t="s">
        <v>162</v>
      </c>
    </row>
    <row r="6764" spans="1:4" x14ac:dyDescent="0.2">
      <c r="A6764">
        <v>6759</v>
      </c>
      <c r="B6764" s="14">
        <f>'EstRev 6-11'!G229</f>
        <v>0</v>
      </c>
      <c r="C6764" s="5">
        <f t="shared" si="83"/>
        <v>6759</v>
      </c>
      <c r="D6764" s="5" t="s">
        <v>162</v>
      </c>
    </row>
    <row r="6765" spans="1:4" x14ac:dyDescent="0.2">
      <c r="A6765">
        <v>6760</v>
      </c>
      <c r="B6765" s="14">
        <f>'EstRev 6-11'!G230</f>
        <v>0</v>
      </c>
      <c r="C6765" s="5">
        <f t="shared" si="83"/>
        <v>6760</v>
      </c>
      <c r="D6765" s="5" t="s">
        <v>162</v>
      </c>
    </row>
    <row r="6766" spans="1:4" x14ac:dyDescent="0.2">
      <c r="A6766">
        <v>6761</v>
      </c>
      <c r="B6766" s="14">
        <f>'EstRev 6-11'!G231</f>
        <v>0</v>
      </c>
      <c r="C6766" s="5">
        <f t="shared" si="83"/>
        <v>6761</v>
      </c>
      <c r="D6766" s="5" t="s">
        <v>162</v>
      </c>
    </row>
    <row r="6767" spans="1:4" x14ac:dyDescent="0.2">
      <c r="A6767">
        <v>6762</v>
      </c>
      <c r="B6767" s="14">
        <f>'EstRev 6-11'!G232</f>
        <v>0</v>
      </c>
      <c r="C6767" s="5">
        <f t="shared" si="83"/>
        <v>6762</v>
      </c>
      <c r="D6767" s="5" t="s">
        <v>162</v>
      </c>
    </row>
    <row r="6768" spans="1:4" x14ac:dyDescent="0.2">
      <c r="A6768">
        <v>6763</v>
      </c>
      <c r="B6768" s="14">
        <f>'EstRev 6-11'!G233</f>
        <v>0</v>
      </c>
      <c r="C6768" s="5">
        <f t="shared" si="83"/>
        <v>6763</v>
      </c>
      <c r="D6768" s="5" t="s">
        <v>162</v>
      </c>
    </row>
    <row r="6769" spans="1:4" x14ac:dyDescent="0.2">
      <c r="A6769">
        <v>6764</v>
      </c>
      <c r="B6769" s="14">
        <f>'EstRev 6-11'!G234</f>
        <v>0</v>
      </c>
      <c r="C6769" s="5">
        <f t="shared" si="83"/>
        <v>6764</v>
      </c>
      <c r="D6769" s="5" t="s">
        <v>162</v>
      </c>
    </row>
    <row r="6770" spans="1:4" x14ac:dyDescent="0.2">
      <c r="A6770">
        <v>6765</v>
      </c>
      <c r="B6770" s="14">
        <f>'EstRev 6-11'!G235</f>
        <v>0</v>
      </c>
      <c r="C6770" s="5">
        <f t="shared" si="83"/>
        <v>6765</v>
      </c>
      <c r="D6770" s="5" t="s">
        <v>162</v>
      </c>
    </row>
    <row r="6771" spans="1:4" x14ac:dyDescent="0.2">
      <c r="A6771" s="3">
        <v>6766</v>
      </c>
      <c r="D6771" s="5" t="s">
        <v>162</v>
      </c>
    </row>
    <row r="6772" spans="1:4" x14ac:dyDescent="0.2">
      <c r="A6772">
        <v>6767</v>
      </c>
      <c r="B6772" s="14">
        <f>'EstRev 6-11'!G237</f>
        <v>0</v>
      </c>
      <c r="C6772" s="5">
        <f t="shared" si="83"/>
        <v>6767</v>
      </c>
      <c r="D6772" s="5" t="s">
        <v>162</v>
      </c>
    </row>
    <row r="6773" spans="1:4" x14ac:dyDescent="0.2">
      <c r="A6773">
        <v>6768</v>
      </c>
      <c r="B6773" s="14">
        <f>'EstRev 6-11'!G238</f>
        <v>0</v>
      </c>
      <c r="C6773" s="5">
        <f t="shared" si="83"/>
        <v>6768</v>
      </c>
      <c r="D6773" s="5" t="s">
        <v>162</v>
      </c>
    </row>
    <row r="6774" spans="1:4" x14ac:dyDescent="0.2">
      <c r="A6774">
        <v>6769</v>
      </c>
      <c r="B6774" s="14">
        <f>'EstRev 6-11'!G239</f>
        <v>0</v>
      </c>
      <c r="C6774" s="5">
        <f t="shared" si="83"/>
        <v>6769</v>
      </c>
      <c r="D6774" s="5" t="s">
        <v>162</v>
      </c>
    </row>
    <row r="6775" spans="1:4" x14ac:dyDescent="0.2">
      <c r="A6775">
        <v>6770</v>
      </c>
      <c r="B6775" s="14">
        <f>'EstRev 6-11'!G240</f>
        <v>0</v>
      </c>
      <c r="C6775" s="5">
        <f t="shared" si="83"/>
        <v>6770</v>
      </c>
      <c r="D6775" s="5" t="s">
        <v>162</v>
      </c>
    </row>
    <row r="6776" spans="1:4" x14ac:dyDescent="0.2">
      <c r="A6776">
        <v>6771</v>
      </c>
      <c r="B6776" s="14">
        <f>'EstRev 6-11'!G241</f>
        <v>0</v>
      </c>
      <c r="C6776" s="5">
        <f t="shared" si="83"/>
        <v>6771</v>
      </c>
      <c r="D6776" s="5" t="s">
        <v>162</v>
      </c>
    </row>
    <row r="6777" spans="1:4" x14ac:dyDescent="0.2">
      <c r="A6777">
        <v>6772</v>
      </c>
      <c r="B6777" s="14">
        <f>'EstRev 6-11'!G242</f>
        <v>0</v>
      </c>
      <c r="C6777" s="5">
        <f t="shared" si="83"/>
        <v>6772</v>
      </c>
      <c r="D6777" s="5" t="s">
        <v>162</v>
      </c>
    </row>
    <row r="6778" spans="1:4" x14ac:dyDescent="0.2">
      <c r="A6778">
        <v>6773</v>
      </c>
      <c r="B6778" s="14">
        <f>'EstRev 6-11'!G243</f>
        <v>0</v>
      </c>
      <c r="C6778" s="5">
        <f t="shared" si="83"/>
        <v>6773</v>
      </c>
      <c r="D6778" s="5" t="s">
        <v>162</v>
      </c>
    </row>
    <row r="6779" spans="1:4" x14ac:dyDescent="0.2">
      <c r="A6779">
        <v>6774</v>
      </c>
      <c r="B6779" s="14">
        <f>'EstRev 6-11'!G244</f>
        <v>0</v>
      </c>
      <c r="C6779" s="5">
        <f t="shared" si="83"/>
        <v>6774</v>
      </c>
      <c r="D6779" s="5" t="s">
        <v>162</v>
      </c>
    </row>
    <row r="6780" spans="1:4" x14ac:dyDescent="0.2">
      <c r="A6780">
        <v>6775</v>
      </c>
      <c r="B6780" s="14">
        <f>'EstRev 6-11'!G245</f>
        <v>0</v>
      </c>
      <c r="C6780" s="5">
        <f t="shared" si="83"/>
        <v>6775</v>
      </c>
      <c r="D6780" s="5" t="s">
        <v>162</v>
      </c>
    </row>
    <row r="6781" spans="1:4" x14ac:dyDescent="0.2">
      <c r="A6781">
        <v>6776</v>
      </c>
      <c r="B6781" s="14">
        <f>'EstRev 6-11'!G246</f>
        <v>0</v>
      </c>
      <c r="C6781" s="5">
        <f t="shared" si="83"/>
        <v>6776</v>
      </c>
      <c r="D6781" s="5" t="s">
        <v>162</v>
      </c>
    </row>
    <row r="6782" spans="1:4" x14ac:dyDescent="0.2">
      <c r="A6782">
        <v>6777</v>
      </c>
      <c r="B6782" s="14">
        <f>'EstRev 6-11'!G247</f>
        <v>0</v>
      </c>
      <c r="C6782" s="5">
        <f t="shared" si="83"/>
        <v>6777</v>
      </c>
      <c r="D6782" s="5" t="s">
        <v>162</v>
      </c>
    </row>
    <row r="6783" spans="1:4" x14ac:dyDescent="0.2">
      <c r="A6783">
        <v>6778</v>
      </c>
      <c r="B6783" s="14">
        <f>'EstRev 6-11'!G248</f>
        <v>0</v>
      </c>
      <c r="C6783" s="5">
        <f t="shared" si="83"/>
        <v>6778</v>
      </c>
      <c r="D6783" s="5" t="s">
        <v>162</v>
      </c>
    </row>
    <row r="6784" spans="1:4" x14ac:dyDescent="0.2">
      <c r="A6784">
        <v>6779</v>
      </c>
      <c r="B6784" s="14">
        <f>'EstRev 6-11'!G249</f>
        <v>0</v>
      </c>
      <c r="C6784" s="5">
        <f t="shared" si="83"/>
        <v>6779</v>
      </c>
      <c r="D6784" s="5" t="s">
        <v>162</v>
      </c>
    </row>
    <row r="6785" spans="1:4" x14ac:dyDescent="0.2">
      <c r="A6785">
        <v>6780</v>
      </c>
      <c r="B6785" s="14">
        <f>'EstRev 6-11'!G250</f>
        <v>0</v>
      </c>
      <c r="C6785" s="5">
        <f t="shared" si="83"/>
        <v>6780</v>
      </c>
      <c r="D6785" s="5" t="s">
        <v>162</v>
      </c>
    </row>
    <row r="6786" spans="1:4" x14ac:dyDescent="0.2">
      <c r="A6786">
        <v>6781</v>
      </c>
      <c r="B6786" s="14">
        <f>'EstRev 6-11'!G251</f>
        <v>0</v>
      </c>
      <c r="C6786" s="5">
        <f t="shared" si="83"/>
        <v>6781</v>
      </c>
      <c r="D6786" s="5" t="s">
        <v>162</v>
      </c>
    </row>
    <row r="6787" spans="1:4" x14ac:dyDescent="0.2">
      <c r="A6787">
        <v>6782</v>
      </c>
      <c r="B6787" s="14">
        <f>'EstRev 6-11'!G252</f>
        <v>0</v>
      </c>
      <c r="C6787" s="5">
        <f t="shared" si="83"/>
        <v>6782</v>
      </c>
      <c r="D6787" s="5" t="s">
        <v>162</v>
      </c>
    </row>
    <row r="6788" spans="1:4" x14ac:dyDescent="0.2">
      <c r="A6788">
        <v>6783</v>
      </c>
      <c r="B6788" s="14">
        <f>'EstRev 6-11'!G253</f>
        <v>0</v>
      </c>
      <c r="C6788" s="5">
        <f t="shared" si="83"/>
        <v>6783</v>
      </c>
      <c r="D6788" s="5" t="s">
        <v>162</v>
      </c>
    </row>
    <row r="6789" spans="1:4" x14ac:dyDescent="0.2">
      <c r="A6789">
        <v>6784</v>
      </c>
      <c r="B6789" s="14">
        <f>'EstRev 6-11'!G254</f>
        <v>0</v>
      </c>
      <c r="C6789" s="5">
        <f t="shared" si="83"/>
        <v>6784</v>
      </c>
      <c r="D6789" s="5" t="s">
        <v>162</v>
      </c>
    </row>
    <row r="6790" spans="1:4" x14ac:dyDescent="0.2">
      <c r="A6790">
        <v>6785</v>
      </c>
      <c r="B6790" s="14">
        <f>'EstRev 6-11'!H225</f>
        <v>0</v>
      </c>
      <c r="C6790" s="5">
        <f t="shared" si="83"/>
        <v>6785</v>
      </c>
      <c r="D6790" s="5" t="s">
        <v>162</v>
      </c>
    </row>
    <row r="6791" spans="1:4" x14ac:dyDescent="0.2">
      <c r="A6791">
        <v>6786</v>
      </c>
      <c r="B6791" s="14">
        <f>'EstRev 6-11'!H226</f>
        <v>0</v>
      </c>
      <c r="C6791" s="5">
        <f t="shared" si="83"/>
        <v>6786</v>
      </c>
      <c r="D6791" s="5" t="s">
        <v>162</v>
      </c>
    </row>
    <row r="6792" spans="1:4" x14ac:dyDescent="0.2">
      <c r="A6792">
        <v>6787</v>
      </c>
      <c r="B6792" s="14">
        <f>'EstRev 6-11'!H227</f>
        <v>0</v>
      </c>
      <c r="C6792" s="5">
        <f t="shared" ref="C6792:C6855" si="84">A6792-B6792</f>
        <v>6787</v>
      </c>
      <c r="D6792" s="5" t="s">
        <v>162</v>
      </c>
    </row>
    <row r="6793" spans="1:4" x14ac:dyDescent="0.2">
      <c r="A6793">
        <v>6788</v>
      </c>
      <c r="B6793" s="14">
        <f>'EstRev 6-11'!H228</f>
        <v>0</v>
      </c>
      <c r="C6793" s="5">
        <f t="shared" si="84"/>
        <v>6788</v>
      </c>
      <c r="D6793" s="5" t="s">
        <v>162</v>
      </c>
    </row>
    <row r="6794" spans="1:4" x14ac:dyDescent="0.2">
      <c r="A6794">
        <v>6789</v>
      </c>
      <c r="B6794" s="14">
        <f>'EstRev 6-11'!H229</f>
        <v>0</v>
      </c>
      <c r="C6794" s="5">
        <f t="shared" si="84"/>
        <v>6789</v>
      </c>
      <c r="D6794" s="5" t="s">
        <v>162</v>
      </c>
    </row>
    <row r="6795" spans="1:4" x14ac:dyDescent="0.2">
      <c r="A6795">
        <v>6790</v>
      </c>
      <c r="B6795" s="14">
        <f>'EstRev 6-11'!H230</f>
        <v>0</v>
      </c>
      <c r="C6795" s="5">
        <f t="shared" si="84"/>
        <v>6790</v>
      </c>
      <c r="D6795" s="5" t="s">
        <v>162</v>
      </c>
    </row>
    <row r="6796" spans="1:4" x14ac:dyDescent="0.2">
      <c r="A6796">
        <v>6791</v>
      </c>
      <c r="B6796" s="14">
        <f>'EstRev 6-11'!H231</f>
        <v>0</v>
      </c>
      <c r="C6796" s="5">
        <f t="shared" si="84"/>
        <v>6791</v>
      </c>
      <c r="D6796" s="5" t="s">
        <v>162</v>
      </c>
    </row>
    <row r="6797" spans="1:4" x14ac:dyDescent="0.2">
      <c r="A6797">
        <v>6792</v>
      </c>
      <c r="B6797" s="14">
        <f>'EstRev 6-11'!H232</f>
        <v>0</v>
      </c>
      <c r="C6797" s="5">
        <f t="shared" si="84"/>
        <v>6792</v>
      </c>
      <c r="D6797" s="5" t="s">
        <v>162</v>
      </c>
    </row>
    <row r="6798" spans="1:4" x14ac:dyDescent="0.2">
      <c r="A6798">
        <v>6793</v>
      </c>
      <c r="B6798" s="14">
        <f>'EstRev 6-11'!H233</f>
        <v>0</v>
      </c>
      <c r="C6798" s="5">
        <f t="shared" si="84"/>
        <v>6793</v>
      </c>
      <c r="D6798" s="5" t="s">
        <v>162</v>
      </c>
    </row>
    <row r="6799" spans="1:4" x14ac:dyDescent="0.2">
      <c r="A6799">
        <v>6794</v>
      </c>
      <c r="B6799" s="14">
        <f>'EstRev 6-11'!H234</f>
        <v>0</v>
      </c>
      <c r="C6799" s="5">
        <f t="shared" si="84"/>
        <v>6794</v>
      </c>
      <c r="D6799" s="5" t="s">
        <v>162</v>
      </c>
    </row>
    <row r="6800" spans="1:4" x14ac:dyDescent="0.2">
      <c r="A6800">
        <v>6795</v>
      </c>
      <c r="B6800" s="14">
        <f>'EstRev 6-11'!H235</f>
        <v>0</v>
      </c>
      <c r="C6800" s="5">
        <f t="shared" si="84"/>
        <v>6795</v>
      </c>
      <c r="D6800" s="5" t="s">
        <v>162</v>
      </c>
    </row>
    <row r="6801" spans="1:4" x14ac:dyDescent="0.2">
      <c r="A6801" s="3">
        <v>6796</v>
      </c>
      <c r="D6801" s="5" t="s">
        <v>162</v>
      </c>
    </row>
    <row r="6802" spans="1:4" x14ac:dyDescent="0.2">
      <c r="A6802">
        <v>6797</v>
      </c>
      <c r="B6802" s="14">
        <f>'EstRev 6-11'!H237</f>
        <v>0</v>
      </c>
      <c r="C6802" s="5">
        <f t="shared" si="84"/>
        <v>6797</v>
      </c>
      <c r="D6802" s="5" t="s">
        <v>162</v>
      </c>
    </row>
    <row r="6803" spans="1:4" x14ac:dyDescent="0.2">
      <c r="A6803">
        <v>6798</v>
      </c>
      <c r="B6803" s="14">
        <f>'EstRev 6-11'!H238</f>
        <v>0</v>
      </c>
      <c r="C6803" s="5">
        <f t="shared" si="84"/>
        <v>6798</v>
      </c>
      <c r="D6803" s="5" t="s">
        <v>162</v>
      </c>
    </row>
    <row r="6804" spans="1:4" x14ac:dyDescent="0.2">
      <c r="A6804">
        <v>6799</v>
      </c>
      <c r="B6804" s="14">
        <f>'EstRev 6-11'!H239</f>
        <v>0</v>
      </c>
      <c r="C6804" s="5">
        <f t="shared" si="84"/>
        <v>6799</v>
      </c>
      <c r="D6804" s="5" t="s">
        <v>162</v>
      </c>
    </row>
    <row r="6805" spans="1:4" x14ac:dyDescent="0.2">
      <c r="A6805">
        <v>6800</v>
      </c>
      <c r="B6805" s="14">
        <f>'EstRev 6-11'!H240</f>
        <v>0</v>
      </c>
      <c r="C6805" s="5">
        <f t="shared" si="84"/>
        <v>6800</v>
      </c>
      <c r="D6805" s="5" t="s">
        <v>162</v>
      </c>
    </row>
    <row r="6806" spans="1:4" x14ac:dyDescent="0.2">
      <c r="A6806">
        <v>6801</v>
      </c>
      <c r="B6806" s="14">
        <f>'EstRev 6-11'!H241</f>
        <v>0</v>
      </c>
      <c r="C6806" s="5">
        <f t="shared" si="84"/>
        <v>6801</v>
      </c>
      <c r="D6806" s="5" t="s">
        <v>162</v>
      </c>
    </row>
    <row r="6807" spans="1:4" x14ac:dyDescent="0.2">
      <c r="A6807">
        <v>6802</v>
      </c>
      <c r="B6807" s="14">
        <f>'EstRev 6-11'!H242</f>
        <v>0</v>
      </c>
      <c r="C6807" s="5">
        <f t="shared" si="84"/>
        <v>6802</v>
      </c>
      <c r="D6807" s="5" t="s">
        <v>162</v>
      </c>
    </row>
    <row r="6808" spans="1:4" x14ac:dyDescent="0.2">
      <c r="A6808">
        <v>6803</v>
      </c>
      <c r="B6808" s="14">
        <f>'EstRev 6-11'!H243</f>
        <v>0</v>
      </c>
      <c r="C6808" s="5">
        <f t="shared" si="84"/>
        <v>6803</v>
      </c>
      <c r="D6808" s="5" t="s">
        <v>162</v>
      </c>
    </row>
    <row r="6809" spans="1:4" x14ac:dyDescent="0.2">
      <c r="A6809">
        <v>6804</v>
      </c>
      <c r="B6809" s="14">
        <f>'EstRev 6-11'!H244</f>
        <v>0</v>
      </c>
      <c r="C6809" s="5">
        <f t="shared" si="84"/>
        <v>6804</v>
      </c>
      <c r="D6809" s="5" t="s">
        <v>162</v>
      </c>
    </row>
    <row r="6810" spans="1:4" x14ac:dyDescent="0.2">
      <c r="A6810">
        <v>6805</v>
      </c>
      <c r="B6810" s="14">
        <f>'EstRev 6-11'!H245</f>
        <v>0</v>
      </c>
      <c r="C6810" s="5">
        <f t="shared" si="84"/>
        <v>6805</v>
      </c>
      <c r="D6810" s="5" t="s">
        <v>162</v>
      </c>
    </row>
    <row r="6811" spans="1:4" x14ac:dyDescent="0.2">
      <c r="A6811">
        <v>6806</v>
      </c>
      <c r="B6811" s="14">
        <f>'EstRev 6-11'!H246</f>
        <v>0</v>
      </c>
      <c r="C6811" s="5">
        <f t="shared" si="84"/>
        <v>6806</v>
      </c>
      <c r="D6811" s="5" t="s">
        <v>162</v>
      </c>
    </row>
    <row r="6812" spans="1:4" x14ac:dyDescent="0.2">
      <c r="A6812">
        <v>6807</v>
      </c>
      <c r="B6812" s="14">
        <f>'EstRev 6-11'!H247</f>
        <v>0</v>
      </c>
      <c r="C6812" s="5">
        <f t="shared" si="84"/>
        <v>6807</v>
      </c>
      <c r="D6812" s="5" t="s">
        <v>162</v>
      </c>
    </row>
    <row r="6813" spans="1:4" x14ac:dyDescent="0.2">
      <c r="A6813">
        <v>6808</v>
      </c>
      <c r="B6813" s="14">
        <f>'EstRev 6-11'!H248</f>
        <v>0</v>
      </c>
      <c r="C6813" s="5">
        <f t="shared" si="84"/>
        <v>6808</v>
      </c>
      <c r="D6813" s="5" t="s">
        <v>162</v>
      </c>
    </row>
    <row r="6814" spans="1:4" x14ac:dyDescent="0.2">
      <c r="A6814">
        <v>6809</v>
      </c>
      <c r="B6814" s="14">
        <f>'EstRev 6-11'!H249</f>
        <v>0</v>
      </c>
      <c r="C6814" s="5">
        <f t="shared" si="84"/>
        <v>6809</v>
      </c>
      <c r="D6814" s="5" t="s">
        <v>162</v>
      </c>
    </row>
    <row r="6815" spans="1:4" x14ac:dyDescent="0.2">
      <c r="A6815">
        <v>6810</v>
      </c>
      <c r="B6815" s="14">
        <f>'EstRev 6-11'!H250</f>
        <v>0</v>
      </c>
      <c r="C6815" s="5">
        <f t="shared" si="84"/>
        <v>6810</v>
      </c>
      <c r="D6815" s="5" t="s">
        <v>162</v>
      </c>
    </row>
    <row r="6816" spans="1:4" x14ac:dyDescent="0.2">
      <c r="A6816">
        <v>6811</v>
      </c>
      <c r="B6816" s="14">
        <f>'EstRev 6-11'!H251</f>
        <v>0</v>
      </c>
      <c r="C6816" s="5">
        <f t="shared" si="84"/>
        <v>6811</v>
      </c>
      <c r="D6816" s="5" t="s">
        <v>162</v>
      </c>
    </row>
    <row r="6817" spans="1:4" x14ac:dyDescent="0.2">
      <c r="A6817">
        <v>6812</v>
      </c>
      <c r="B6817" s="14">
        <f>'EstRev 6-11'!H252</f>
        <v>0</v>
      </c>
      <c r="C6817" s="5">
        <f t="shared" si="84"/>
        <v>6812</v>
      </c>
      <c r="D6817" s="5" t="s">
        <v>162</v>
      </c>
    </row>
    <row r="6818" spans="1:4" x14ac:dyDescent="0.2">
      <c r="A6818">
        <v>6813</v>
      </c>
      <c r="B6818" s="14">
        <f>'EstRev 6-11'!H253</f>
        <v>0</v>
      </c>
      <c r="C6818" s="5">
        <f t="shared" si="84"/>
        <v>6813</v>
      </c>
      <c r="D6818" s="5" t="s">
        <v>162</v>
      </c>
    </row>
    <row r="6819" spans="1:4" x14ac:dyDescent="0.2">
      <c r="A6819">
        <v>6814</v>
      </c>
      <c r="B6819" s="14">
        <f>'EstRev 6-11'!H254</f>
        <v>0</v>
      </c>
      <c r="C6819" s="5">
        <f t="shared" si="84"/>
        <v>6814</v>
      </c>
      <c r="D6819" s="5" t="s">
        <v>162</v>
      </c>
    </row>
    <row r="6820" spans="1:4" x14ac:dyDescent="0.2">
      <c r="A6820">
        <v>6815</v>
      </c>
      <c r="B6820" s="14">
        <f>'EstRev 6-11'!I225</f>
        <v>0</v>
      </c>
      <c r="C6820" s="5">
        <f t="shared" si="84"/>
        <v>6815</v>
      </c>
      <c r="D6820" s="5" t="s">
        <v>162</v>
      </c>
    </row>
    <row r="6821" spans="1:4" x14ac:dyDescent="0.2">
      <c r="A6821" s="3">
        <v>6816</v>
      </c>
      <c r="D6821" s="5" t="s">
        <v>162</v>
      </c>
    </row>
    <row r="6822" spans="1:4" x14ac:dyDescent="0.2">
      <c r="A6822">
        <v>6817</v>
      </c>
      <c r="B6822" s="14">
        <f>'EstRev 6-11'!I227</f>
        <v>0</v>
      </c>
      <c r="C6822" s="5">
        <f t="shared" si="84"/>
        <v>6817</v>
      </c>
      <c r="D6822" s="5" t="s">
        <v>162</v>
      </c>
    </row>
    <row r="6823" spans="1:4" x14ac:dyDescent="0.2">
      <c r="A6823">
        <v>6818</v>
      </c>
      <c r="B6823" s="14">
        <f>'EstRev 6-11'!I228</f>
        <v>0</v>
      </c>
      <c r="C6823" s="5">
        <f t="shared" si="84"/>
        <v>6818</v>
      </c>
      <c r="D6823" s="5" t="s">
        <v>162</v>
      </c>
    </row>
    <row r="6824" spans="1:4" x14ac:dyDescent="0.2">
      <c r="A6824">
        <v>6819</v>
      </c>
      <c r="B6824" s="14">
        <f>'EstRev 6-11'!I229</f>
        <v>0</v>
      </c>
      <c r="C6824" s="5">
        <f t="shared" si="84"/>
        <v>6819</v>
      </c>
      <c r="D6824" s="5" t="s">
        <v>162</v>
      </c>
    </row>
    <row r="6825" spans="1:4" x14ac:dyDescent="0.2">
      <c r="A6825">
        <v>6820</v>
      </c>
      <c r="B6825" s="14">
        <f>'EstRev 6-11'!I230</f>
        <v>0</v>
      </c>
      <c r="C6825" s="5">
        <f t="shared" si="84"/>
        <v>6820</v>
      </c>
      <c r="D6825" s="5" t="s">
        <v>162</v>
      </c>
    </row>
    <row r="6826" spans="1:4" x14ac:dyDescent="0.2">
      <c r="A6826">
        <v>6821</v>
      </c>
      <c r="B6826" s="14">
        <f>'EstRev 6-11'!I231</f>
        <v>0</v>
      </c>
      <c r="C6826" s="5">
        <f t="shared" si="84"/>
        <v>6821</v>
      </c>
      <c r="D6826" s="5" t="s">
        <v>162</v>
      </c>
    </row>
    <row r="6827" spans="1:4" x14ac:dyDescent="0.2">
      <c r="A6827">
        <v>6822</v>
      </c>
      <c r="B6827" s="14">
        <f>'EstRev 6-11'!I232</f>
        <v>0</v>
      </c>
      <c r="C6827" s="5">
        <f t="shared" si="84"/>
        <v>6822</v>
      </c>
      <c r="D6827" s="5" t="s">
        <v>162</v>
      </c>
    </row>
    <row r="6828" spans="1:4" x14ac:dyDescent="0.2">
      <c r="A6828">
        <v>6823</v>
      </c>
      <c r="B6828" s="14">
        <f>'EstRev 6-11'!I233</f>
        <v>0</v>
      </c>
      <c r="C6828" s="5">
        <f t="shared" si="84"/>
        <v>6823</v>
      </c>
      <c r="D6828" s="5" t="s">
        <v>162</v>
      </c>
    </row>
    <row r="6829" spans="1:4" x14ac:dyDescent="0.2">
      <c r="A6829">
        <v>6824</v>
      </c>
      <c r="B6829" s="14">
        <f>'EstRev 6-11'!I234</f>
        <v>0</v>
      </c>
      <c r="C6829" s="5">
        <f t="shared" si="84"/>
        <v>6824</v>
      </c>
      <c r="D6829" s="5" t="s">
        <v>162</v>
      </c>
    </row>
    <row r="6830" spans="1:4" x14ac:dyDescent="0.2">
      <c r="A6830" s="3">
        <v>6825</v>
      </c>
      <c r="D6830" s="5" t="s">
        <v>162</v>
      </c>
    </row>
    <row r="6831" spans="1:4" x14ac:dyDescent="0.2">
      <c r="A6831" s="3">
        <v>6826</v>
      </c>
      <c r="D6831" s="5" t="s">
        <v>162</v>
      </c>
    </row>
    <row r="6832" spans="1:4" x14ac:dyDescent="0.2">
      <c r="A6832">
        <v>6827</v>
      </c>
      <c r="B6832" s="14">
        <f>'EstRev 6-11'!I237</f>
        <v>0</v>
      </c>
      <c r="C6832" s="5">
        <f t="shared" si="84"/>
        <v>6827</v>
      </c>
      <c r="D6832" s="5" t="s">
        <v>162</v>
      </c>
    </row>
    <row r="6833" spans="1:4" x14ac:dyDescent="0.2">
      <c r="A6833">
        <v>6828</v>
      </c>
      <c r="B6833" s="14">
        <f>'EstRev 6-11'!I238</f>
        <v>0</v>
      </c>
      <c r="C6833" s="5">
        <f t="shared" si="84"/>
        <v>6828</v>
      </c>
      <c r="D6833" s="5" t="s">
        <v>162</v>
      </c>
    </row>
    <row r="6834" spans="1:4" x14ac:dyDescent="0.2">
      <c r="A6834">
        <v>6829</v>
      </c>
      <c r="B6834" s="14">
        <f>'EstRev 6-11'!I239</f>
        <v>0</v>
      </c>
      <c r="C6834" s="5">
        <f t="shared" si="84"/>
        <v>6829</v>
      </c>
      <c r="D6834" s="5" t="s">
        <v>162</v>
      </c>
    </row>
    <row r="6835" spans="1:4" x14ac:dyDescent="0.2">
      <c r="A6835">
        <v>6830</v>
      </c>
      <c r="B6835" s="14">
        <f>'EstRev 6-11'!I240</f>
        <v>0</v>
      </c>
      <c r="C6835" s="5">
        <f t="shared" si="84"/>
        <v>6830</v>
      </c>
      <c r="D6835" s="5" t="s">
        <v>162</v>
      </c>
    </row>
    <row r="6836" spans="1:4" x14ac:dyDescent="0.2">
      <c r="A6836">
        <v>6831</v>
      </c>
      <c r="B6836" s="14">
        <f>'EstRev 6-11'!I241</f>
        <v>0</v>
      </c>
      <c r="C6836" s="5">
        <f t="shared" si="84"/>
        <v>6831</v>
      </c>
      <c r="D6836" s="5" t="s">
        <v>162</v>
      </c>
    </row>
    <row r="6837" spans="1:4" x14ac:dyDescent="0.2">
      <c r="A6837">
        <v>6832</v>
      </c>
      <c r="B6837" s="14">
        <f>'EstRev 6-11'!I242</f>
        <v>0</v>
      </c>
      <c r="C6837" s="5">
        <f t="shared" si="84"/>
        <v>6832</v>
      </c>
      <c r="D6837" s="5" t="s">
        <v>162</v>
      </c>
    </row>
    <row r="6838" spans="1:4" x14ac:dyDescent="0.2">
      <c r="A6838">
        <v>6833</v>
      </c>
      <c r="B6838" s="14">
        <f>'EstRev 6-11'!I243</f>
        <v>0</v>
      </c>
      <c r="C6838" s="5">
        <f t="shared" si="84"/>
        <v>6833</v>
      </c>
      <c r="D6838" s="5" t="s">
        <v>162</v>
      </c>
    </row>
    <row r="6839" spans="1:4" x14ac:dyDescent="0.2">
      <c r="A6839">
        <v>6834</v>
      </c>
      <c r="B6839" s="14">
        <f>'EstRev 6-11'!I244</f>
        <v>0</v>
      </c>
      <c r="C6839" s="5">
        <f t="shared" si="84"/>
        <v>6834</v>
      </c>
      <c r="D6839" s="5" t="s">
        <v>162</v>
      </c>
    </row>
    <row r="6840" spans="1:4" x14ac:dyDescent="0.2">
      <c r="A6840">
        <v>6835</v>
      </c>
      <c r="B6840" s="14">
        <f>'EstRev 6-11'!I245</f>
        <v>0</v>
      </c>
      <c r="C6840" s="5">
        <f t="shared" si="84"/>
        <v>6835</v>
      </c>
      <c r="D6840" s="5" t="s">
        <v>162</v>
      </c>
    </row>
    <row r="6841" spans="1:4" x14ac:dyDescent="0.2">
      <c r="A6841">
        <v>6836</v>
      </c>
      <c r="B6841" s="14">
        <f>'EstRev 6-11'!I246</f>
        <v>0</v>
      </c>
      <c r="C6841" s="5">
        <f t="shared" si="84"/>
        <v>6836</v>
      </c>
      <c r="D6841" s="5" t="s">
        <v>162</v>
      </c>
    </row>
    <row r="6842" spans="1:4" x14ac:dyDescent="0.2">
      <c r="A6842">
        <v>6837</v>
      </c>
      <c r="B6842" s="14">
        <f>'EstRev 6-11'!I247</f>
        <v>0</v>
      </c>
      <c r="C6842" s="5">
        <f t="shared" si="84"/>
        <v>6837</v>
      </c>
      <c r="D6842" s="5" t="s">
        <v>162</v>
      </c>
    </row>
    <row r="6843" spans="1:4" x14ac:dyDescent="0.2">
      <c r="A6843">
        <v>6838</v>
      </c>
      <c r="B6843" s="14">
        <f>'EstRev 6-11'!I248</f>
        <v>0</v>
      </c>
      <c r="C6843" s="5">
        <f t="shared" si="84"/>
        <v>6838</v>
      </c>
      <c r="D6843" s="5" t="s">
        <v>162</v>
      </c>
    </row>
    <row r="6844" spans="1:4" x14ac:dyDescent="0.2">
      <c r="A6844">
        <v>6839</v>
      </c>
      <c r="B6844" s="14">
        <f>'EstRev 6-11'!I249</f>
        <v>0</v>
      </c>
      <c r="C6844" s="5">
        <f t="shared" si="84"/>
        <v>6839</v>
      </c>
      <c r="D6844" s="5" t="s">
        <v>162</v>
      </c>
    </row>
    <row r="6845" spans="1:4" x14ac:dyDescent="0.2">
      <c r="A6845">
        <v>6840</v>
      </c>
      <c r="B6845" s="14">
        <f>'EstRev 6-11'!I250</f>
        <v>0</v>
      </c>
      <c r="C6845" s="5">
        <f t="shared" si="84"/>
        <v>6840</v>
      </c>
      <c r="D6845" s="5" t="s">
        <v>162</v>
      </c>
    </row>
    <row r="6846" spans="1:4" x14ac:dyDescent="0.2">
      <c r="A6846">
        <v>6841</v>
      </c>
      <c r="B6846" s="14">
        <f>'EstRev 6-11'!I251</f>
        <v>0</v>
      </c>
      <c r="C6846" s="5">
        <f t="shared" si="84"/>
        <v>6841</v>
      </c>
      <c r="D6846" s="5" t="s">
        <v>162</v>
      </c>
    </row>
    <row r="6847" spans="1:4" x14ac:dyDescent="0.2">
      <c r="A6847">
        <v>6842</v>
      </c>
      <c r="B6847" s="14">
        <f>'EstRev 6-11'!I252</f>
        <v>0</v>
      </c>
      <c r="C6847" s="5">
        <f t="shared" si="84"/>
        <v>6842</v>
      </c>
      <c r="D6847" s="5" t="s">
        <v>162</v>
      </c>
    </row>
    <row r="6848" spans="1:4" x14ac:dyDescent="0.2">
      <c r="A6848">
        <v>6843</v>
      </c>
      <c r="B6848" s="14">
        <f>'EstRev 6-11'!I253</f>
        <v>0</v>
      </c>
      <c r="C6848" s="5">
        <f t="shared" si="84"/>
        <v>6843</v>
      </c>
      <c r="D6848" s="5" t="s">
        <v>162</v>
      </c>
    </row>
    <row r="6849" spans="1:4" x14ac:dyDescent="0.2">
      <c r="A6849">
        <v>6844</v>
      </c>
      <c r="B6849" s="14">
        <f>'EstRev 6-11'!I254</f>
        <v>0</v>
      </c>
      <c r="C6849" s="5">
        <f t="shared" si="84"/>
        <v>6844</v>
      </c>
      <c r="D6849" s="5" t="s">
        <v>162</v>
      </c>
    </row>
    <row r="6850" spans="1:4" x14ac:dyDescent="0.2">
      <c r="A6850">
        <v>6845</v>
      </c>
      <c r="B6850" s="14">
        <f>'EstRev 6-11'!K225</f>
        <v>0</v>
      </c>
      <c r="C6850" s="5">
        <f t="shared" si="84"/>
        <v>6845</v>
      </c>
      <c r="D6850" s="5" t="s">
        <v>162</v>
      </c>
    </row>
    <row r="6851" spans="1:4" x14ac:dyDescent="0.2">
      <c r="A6851" s="3">
        <v>6846</v>
      </c>
      <c r="D6851" s="5" t="s">
        <v>162</v>
      </c>
    </row>
    <row r="6852" spans="1:4" x14ac:dyDescent="0.2">
      <c r="A6852">
        <v>6847</v>
      </c>
      <c r="B6852" s="14">
        <f>'EstRev 6-11'!K227</f>
        <v>0</v>
      </c>
      <c r="C6852" s="5">
        <f t="shared" si="84"/>
        <v>6847</v>
      </c>
      <c r="D6852" s="5" t="s">
        <v>162</v>
      </c>
    </row>
    <row r="6853" spans="1:4" x14ac:dyDescent="0.2">
      <c r="A6853">
        <v>6848</v>
      </c>
      <c r="B6853" s="14">
        <f>'EstRev 6-11'!K228</f>
        <v>0</v>
      </c>
      <c r="C6853" s="5">
        <f t="shared" si="84"/>
        <v>6848</v>
      </c>
      <c r="D6853" s="5" t="s">
        <v>162</v>
      </c>
    </row>
    <row r="6854" spans="1:4" x14ac:dyDescent="0.2">
      <c r="A6854">
        <v>6849</v>
      </c>
      <c r="B6854" s="14">
        <f>'EstRev 6-11'!K229</f>
        <v>0</v>
      </c>
      <c r="C6854" s="5">
        <f t="shared" si="84"/>
        <v>6849</v>
      </c>
      <c r="D6854" s="5" t="s">
        <v>162</v>
      </c>
    </row>
    <row r="6855" spans="1:4" x14ac:dyDescent="0.2">
      <c r="A6855">
        <v>6850</v>
      </c>
      <c r="B6855" s="14">
        <f>'EstRev 6-11'!K230</f>
        <v>0</v>
      </c>
      <c r="C6855" s="5">
        <f t="shared" si="84"/>
        <v>6850</v>
      </c>
      <c r="D6855" s="5" t="s">
        <v>162</v>
      </c>
    </row>
    <row r="6856" spans="1:4" x14ac:dyDescent="0.2">
      <c r="A6856">
        <v>6851</v>
      </c>
      <c r="B6856" s="14">
        <f>'EstRev 6-11'!K231</f>
        <v>0</v>
      </c>
      <c r="C6856" s="5">
        <f t="shared" ref="C6856:C6909" si="85">A6856-B6856</f>
        <v>6851</v>
      </c>
      <c r="D6856" s="5" t="s">
        <v>162</v>
      </c>
    </row>
    <row r="6857" spans="1:4" x14ac:dyDescent="0.2">
      <c r="A6857">
        <v>6852</v>
      </c>
      <c r="B6857" s="14">
        <f>'EstRev 6-11'!K232</f>
        <v>0</v>
      </c>
      <c r="C6857" s="5">
        <f t="shared" si="85"/>
        <v>6852</v>
      </c>
      <c r="D6857" s="5" t="s">
        <v>162</v>
      </c>
    </row>
    <row r="6858" spans="1:4" x14ac:dyDescent="0.2">
      <c r="A6858">
        <v>6853</v>
      </c>
      <c r="B6858" s="14">
        <f>'EstRev 6-11'!K233</f>
        <v>0</v>
      </c>
      <c r="C6858" s="5">
        <f t="shared" si="85"/>
        <v>6853</v>
      </c>
      <c r="D6858" s="5" t="s">
        <v>162</v>
      </c>
    </row>
    <row r="6859" spans="1:4" x14ac:dyDescent="0.2">
      <c r="A6859">
        <v>6854</v>
      </c>
      <c r="B6859" s="14">
        <f>'EstRev 6-11'!K234</f>
        <v>0</v>
      </c>
      <c r="C6859" s="5">
        <f t="shared" si="85"/>
        <v>6854</v>
      </c>
      <c r="D6859" s="5" t="s">
        <v>162</v>
      </c>
    </row>
    <row r="6860" spans="1:4" x14ac:dyDescent="0.2">
      <c r="A6860" s="3">
        <v>6855</v>
      </c>
      <c r="D6860" s="5" t="s">
        <v>162</v>
      </c>
    </row>
    <row r="6861" spans="1:4" x14ac:dyDescent="0.2">
      <c r="A6861" s="3">
        <v>6856</v>
      </c>
      <c r="D6861" s="5" t="s">
        <v>162</v>
      </c>
    </row>
    <row r="6862" spans="1:4" x14ac:dyDescent="0.2">
      <c r="A6862">
        <v>6857</v>
      </c>
      <c r="B6862" s="14">
        <f>'EstRev 6-11'!K237</f>
        <v>0</v>
      </c>
      <c r="C6862" s="5">
        <f t="shared" si="85"/>
        <v>6857</v>
      </c>
      <c r="D6862" s="5" t="s">
        <v>162</v>
      </c>
    </row>
    <row r="6863" spans="1:4" x14ac:dyDescent="0.2">
      <c r="A6863">
        <v>6858</v>
      </c>
      <c r="B6863" s="14">
        <f>'EstRev 6-11'!K238</f>
        <v>0</v>
      </c>
      <c r="C6863" s="5">
        <f t="shared" si="85"/>
        <v>6858</v>
      </c>
      <c r="D6863" s="5" t="s">
        <v>162</v>
      </c>
    </row>
    <row r="6864" spans="1:4" x14ac:dyDescent="0.2">
      <c r="A6864">
        <v>6859</v>
      </c>
      <c r="B6864" s="14">
        <f>'EstRev 6-11'!K239</f>
        <v>0</v>
      </c>
      <c r="C6864" s="5">
        <f t="shared" si="85"/>
        <v>6859</v>
      </c>
      <c r="D6864" s="5" t="s">
        <v>162</v>
      </c>
    </row>
    <row r="6865" spans="1:4" x14ac:dyDescent="0.2">
      <c r="A6865">
        <v>6860</v>
      </c>
      <c r="B6865" s="14">
        <f>'EstRev 6-11'!K240</f>
        <v>0</v>
      </c>
      <c r="C6865" s="5">
        <f t="shared" si="85"/>
        <v>6860</v>
      </c>
      <c r="D6865" s="5" t="s">
        <v>162</v>
      </c>
    </row>
    <row r="6866" spans="1:4" x14ac:dyDescent="0.2">
      <c r="A6866">
        <v>6861</v>
      </c>
      <c r="B6866" s="14">
        <f>'EstRev 6-11'!K241</f>
        <v>0</v>
      </c>
      <c r="C6866" s="5">
        <f t="shared" si="85"/>
        <v>6861</v>
      </c>
      <c r="D6866" s="5" t="s">
        <v>162</v>
      </c>
    </row>
    <row r="6867" spans="1:4" x14ac:dyDescent="0.2">
      <c r="A6867">
        <v>6862</v>
      </c>
      <c r="B6867" s="14">
        <f>'EstRev 6-11'!K242</f>
        <v>0</v>
      </c>
      <c r="C6867" s="5">
        <f t="shared" si="85"/>
        <v>6862</v>
      </c>
      <c r="D6867" s="5" t="s">
        <v>162</v>
      </c>
    </row>
    <row r="6868" spans="1:4" x14ac:dyDescent="0.2">
      <c r="A6868">
        <v>6863</v>
      </c>
      <c r="B6868" s="14">
        <f>'EstRev 6-11'!K243</f>
        <v>0</v>
      </c>
      <c r="C6868" s="5">
        <f t="shared" si="85"/>
        <v>6863</v>
      </c>
      <c r="D6868" s="5" t="s">
        <v>162</v>
      </c>
    </row>
    <row r="6869" spans="1:4" x14ac:dyDescent="0.2">
      <c r="A6869">
        <v>6864</v>
      </c>
      <c r="B6869" s="14">
        <f>'EstRev 6-11'!K244</f>
        <v>0</v>
      </c>
      <c r="C6869" s="5">
        <f t="shared" si="85"/>
        <v>6864</v>
      </c>
      <c r="D6869" s="5" t="s">
        <v>162</v>
      </c>
    </row>
    <row r="6870" spans="1:4" x14ac:dyDescent="0.2">
      <c r="A6870">
        <v>6865</v>
      </c>
      <c r="B6870" s="14">
        <f>'EstRev 6-11'!K245</f>
        <v>0</v>
      </c>
      <c r="C6870" s="5">
        <f t="shared" si="85"/>
        <v>6865</v>
      </c>
      <c r="D6870" s="5" t="s">
        <v>162</v>
      </c>
    </row>
    <row r="6871" spans="1:4" x14ac:dyDescent="0.2">
      <c r="A6871">
        <v>6866</v>
      </c>
      <c r="B6871" s="14">
        <f>'EstRev 6-11'!K246</f>
        <v>0</v>
      </c>
      <c r="C6871" s="5">
        <f t="shared" si="85"/>
        <v>6866</v>
      </c>
      <c r="D6871" s="5" t="s">
        <v>162</v>
      </c>
    </row>
    <row r="6872" spans="1:4" x14ac:dyDescent="0.2">
      <c r="A6872">
        <v>6867</v>
      </c>
      <c r="B6872" s="14">
        <f>'EstRev 6-11'!K247</f>
        <v>0</v>
      </c>
      <c r="C6872" s="5">
        <f t="shared" si="85"/>
        <v>6867</v>
      </c>
      <c r="D6872" s="5" t="s">
        <v>162</v>
      </c>
    </row>
    <row r="6873" spans="1:4" x14ac:dyDescent="0.2">
      <c r="A6873">
        <v>6868</v>
      </c>
      <c r="B6873" s="14">
        <f>'EstRev 6-11'!K248</f>
        <v>0</v>
      </c>
      <c r="C6873" s="5">
        <f t="shared" si="85"/>
        <v>6868</v>
      </c>
      <c r="D6873" s="5" t="s">
        <v>162</v>
      </c>
    </row>
    <row r="6874" spans="1:4" x14ac:dyDescent="0.2">
      <c r="A6874">
        <v>6869</v>
      </c>
      <c r="B6874" s="14">
        <f>'EstRev 6-11'!K249</f>
        <v>0</v>
      </c>
      <c r="C6874" s="5">
        <f t="shared" si="85"/>
        <v>6869</v>
      </c>
      <c r="D6874" s="5" t="s">
        <v>162</v>
      </c>
    </row>
    <row r="6875" spans="1:4" x14ac:dyDescent="0.2">
      <c r="A6875">
        <v>6870</v>
      </c>
      <c r="B6875" s="14">
        <f>'EstRev 6-11'!K250</f>
        <v>0</v>
      </c>
      <c r="C6875" s="5">
        <f t="shared" si="85"/>
        <v>6870</v>
      </c>
      <c r="D6875" s="5" t="s">
        <v>162</v>
      </c>
    </row>
    <row r="6876" spans="1:4" x14ac:dyDescent="0.2">
      <c r="A6876">
        <v>6871</v>
      </c>
      <c r="B6876" s="14">
        <f>'EstRev 6-11'!K251</f>
        <v>0</v>
      </c>
      <c r="C6876" s="5">
        <f t="shared" si="85"/>
        <v>6871</v>
      </c>
      <c r="D6876" s="5" t="s">
        <v>162</v>
      </c>
    </row>
    <row r="6877" spans="1:4" x14ac:dyDescent="0.2">
      <c r="A6877">
        <v>6872</v>
      </c>
      <c r="B6877" s="14">
        <f>'EstRev 6-11'!K252</f>
        <v>0</v>
      </c>
      <c r="C6877" s="5">
        <f t="shared" si="85"/>
        <v>6872</v>
      </c>
      <c r="D6877" s="5" t="s">
        <v>162</v>
      </c>
    </row>
    <row r="6878" spans="1:4" x14ac:dyDescent="0.2">
      <c r="A6878">
        <v>6873</v>
      </c>
      <c r="B6878" s="14">
        <f>'EstRev 6-11'!K253</f>
        <v>0</v>
      </c>
      <c r="C6878" s="5">
        <f t="shared" si="85"/>
        <v>6873</v>
      </c>
      <c r="D6878" s="5" t="s">
        <v>162</v>
      </c>
    </row>
    <row r="6879" spans="1:4" x14ac:dyDescent="0.2">
      <c r="A6879">
        <v>6874</v>
      </c>
      <c r="B6879" s="14">
        <f>'EstRev 6-11'!K254</f>
        <v>0</v>
      </c>
      <c r="C6879" s="5">
        <f t="shared" si="85"/>
        <v>6874</v>
      </c>
      <c r="D6879" s="5" t="s">
        <v>162</v>
      </c>
    </row>
    <row r="6880" spans="1:4" x14ac:dyDescent="0.2">
      <c r="A6880">
        <v>6875</v>
      </c>
      <c r="B6880" s="14">
        <f>'EstRev 6-11'!L225</f>
        <v>0</v>
      </c>
      <c r="C6880" s="5">
        <f t="shared" si="85"/>
        <v>6875</v>
      </c>
      <c r="D6880" s="5" t="s">
        <v>162</v>
      </c>
    </row>
    <row r="6881" spans="1:4" x14ac:dyDescent="0.2">
      <c r="A6881" s="3">
        <v>6876</v>
      </c>
      <c r="D6881" s="5" t="s">
        <v>162</v>
      </c>
    </row>
    <row r="6882" spans="1:4" x14ac:dyDescent="0.2">
      <c r="A6882">
        <v>6877</v>
      </c>
      <c r="B6882" s="14">
        <f>'EstRev 6-11'!L227</f>
        <v>0</v>
      </c>
      <c r="C6882" s="5">
        <f t="shared" si="85"/>
        <v>6877</v>
      </c>
      <c r="D6882" s="5" t="s">
        <v>162</v>
      </c>
    </row>
    <row r="6883" spans="1:4" x14ac:dyDescent="0.2">
      <c r="A6883">
        <v>6878</v>
      </c>
      <c r="B6883" s="14">
        <f>'EstRev 6-11'!L228</f>
        <v>0</v>
      </c>
      <c r="C6883" s="5">
        <f t="shared" si="85"/>
        <v>6878</v>
      </c>
      <c r="D6883" s="5" t="s">
        <v>162</v>
      </c>
    </row>
    <row r="6884" spans="1:4" x14ac:dyDescent="0.2">
      <c r="A6884">
        <v>6879</v>
      </c>
      <c r="B6884" s="14">
        <f>'EstRev 6-11'!L229</f>
        <v>0</v>
      </c>
      <c r="C6884" s="5">
        <f t="shared" si="85"/>
        <v>6879</v>
      </c>
      <c r="D6884" s="5" t="s">
        <v>162</v>
      </c>
    </row>
    <row r="6885" spans="1:4" x14ac:dyDescent="0.2">
      <c r="A6885">
        <v>6880</v>
      </c>
      <c r="B6885" s="14">
        <f>'EstRev 6-11'!L230</f>
        <v>0</v>
      </c>
      <c r="C6885" s="5">
        <f t="shared" si="85"/>
        <v>6880</v>
      </c>
      <c r="D6885" s="5" t="s">
        <v>162</v>
      </c>
    </row>
    <row r="6886" spans="1:4" x14ac:dyDescent="0.2">
      <c r="A6886">
        <v>6881</v>
      </c>
      <c r="B6886" s="14">
        <f>'EstRev 6-11'!L231</f>
        <v>0</v>
      </c>
      <c r="C6886" s="5">
        <f t="shared" si="85"/>
        <v>6881</v>
      </c>
      <c r="D6886" s="5" t="s">
        <v>162</v>
      </c>
    </row>
    <row r="6887" spans="1:4" x14ac:dyDescent="0.2">
      <c r="A6887">
        <v>6882</v>
      </c>
      <c r="B6887" s="14">
        <f>'EstRev 6-11'!L232</f>
        <v>0</v>
      </c>
      <c r="C6887" s="5">
        <f t="shared" si="85"/>
        <v>6882</v>
      </c>
      <c r="D6887" s="5" t="s">
        <v>162</v>
      </c>
    </row>
    <row r="6888" spans="1:4" x14ac:dyDescent="0.2">
      <c r="A6888">
        <v>6883</v>
      </c>
      <c r="B6888" s="14">
        <f>'EstRev 6-11'!L233</f>
        <v>0</v>
      </c>
      <c r="C6888" s="5">
        <f t="shared" si="85"/>
        <v>6883</v>
      </c>
      <c r="D6888" s="5" t="s">
        <v>162</v>
      </c>
    </row>
    <row r="6889" spans="1:4" x14ac:dyDescent="0.2">
      <c r="A6889">
        <v>6884</v>
      </c>
      <c r="B6889" s="14">
        <f>'EstRev 6-11'!L234</f>
        <v>0</v>
      </c>
      <c r="C6889" s="5">
        <f t="shared" si="85"/>
        <v>6884</v>
      </c>
      <c r="D6889" s="5" t="s">
        <v>162</v>
      </c>
    </row>
    <row r="6890" spans="1:4" x14ac:dyDescent="0.2">
      <c r="A6890" s="3">
        <v>6885</v>
      </c>
      <c r="D6890" s="5" t="s">
        <v>162</v>
      </c>
    </row>
    <row r="6891" spans="1:4" x14ac:dyDescent="0.2">
      <c r="A6891" s="3">
        <v>6886</v>
      </c>
      <c r="D6891" s="5" t="s">
        <v>162</v>
      </c>
    </row>
    <row r="6892" spans="1:4" x14ac:dyDescent="0.2">
      <c r="A6892">
        <v>6887</v>
      </c>
      <c r="B6892" s="14">
        <f>'EstRev 6-11'!L237</f>
        <v>0</v>
      </c>
      <c r="C6892" s="5">
        <f t="shared" si="85"/>
        <v>6887</v>
      </c>
      <c r="D6892" s="5" t="s">
        <v>162</v>
      </c>
    </row>
    <row r="6893" spans="1:4" x14ac:dyDescent="0.2">
      <c r="A6893">
        <v>6888</v>
      </c>
      <c r="B6893" s="14">
        <f>'EstRev 6-11'!L238</f>
        <v>0</v>
      </c>
      <c r="C6893" s="5">
        <f t="shared" si="85"/>
        <v>6888</v>
      </c>
      <c r="D6893" s="5" t="s">
        <v>162</v>
      </c>
    </row>
    <row r="6894" spans="1:4" x14ac:dyDescent="0.2">
      <c r="A6894">
        <v>6889</v>
      </c>
      <c r="B6894" s="14">
        <f>'EstRev 6-11'!L239</f>
        <v>0</v>
      </c>
      <c r="C6894" s="5">
        <f t="shared" si="85"/>
        <v>6889</v>
      </c>
      <c r="D6894" s="5" t="s">
        <v>162</v>
      </c>
    </row>
    <row r="6895" spans="1:4" x14ac:dyDescent="0.2">
      <c r="A6895">
        <v>6890</v>
      </c>
      <c r="B6895" s="14">
        <f>'EstRev 6-11'!L240</f>
        <v>0</v>
      </c>
      <c r="C6895" s="5">
        <f t="shared" si="85"/>
        <v>6890</v>
      </c>
      <c r="D6895" s="5" t="s">
        <v>162</v>
      </c>
    </row>
    <row r="6896" spans="1:4" x14ac:dyDescent="0.2">
      <c r="A6896">
        <v>6891</v>
      </c>
      <c r="B6896" s="14">
        <f>'EstRev 6-11'!L241</f>
        <v>0</v>
      </c>
      <c r="C6896" s="5">
        <f t="shared" si="85"/>
        <v>6891</v>
      </c>
      <c r="D6896" s="5" t="s">
        <v>162</v>
      </c>
    </row>
    <row r="6897" spans="1:4" x14ac:dyDescent="0.2">
      <c r="A6897">
        <v>6892</v>
      </c>
      <c r="B6897" s="14">
        <f>'EstRev 6-11'!L242</f>
        <v>0</v>
      </c>
      <c r="C6897" s="5">
        <f t="shared" si="85"/>
        <v>6892</v>
      </c>
      <c r="D6897" s="5" t="s">
        <v>162</v>
      </c>
    </row>
    <row r="6898" spans="1:4" x14ac:dyDescent="0.2">
      <c r="A6898">
        <v>6893</v>
      </c>
      <c r="B6898" s="14">
        <f>'EstRev 6-11'!L243</f>
        <v>0</v>
      </c>
      <c r="C6898" s="5">
        <f t="shared" si="85"/>
        <v>6893</v>
      </c>
      <c r="D6898" s="5" t="s">
        <v>162</v>
      </c>
    </row>
    <row r="6899" spans="1:4" x14ac:dyDescent="0.2">
      <c r="A6899">
        <v>6894</v>
      </c>
      <c r="B6899" s="14">
        <f>'EstRev 6-11'!L244</f>
        <v>0</v>
      </c>
      <c r="C6899" s="5">
        <f t="shared" si="85"/>
        <v>6894</v>
      </c>
      <c r="D6899" s="5" t="s">
        <v>162</v>
      </c>
    </row>
    <row r="6900" spans="1:4" x14ac:dyDescent="0.2">
      <c r="A6900">
        <v>6895</v>
      </c>
      <c r="B6900" s="14">
        <f>'EstRev 6-11'!L245</f>
        <v>0</v>
      </c>
      <c r="C6900" s="5">
        <f t="shared" si="85"/>
        <v>6895</v>
      </c>
      <c r="D6900" s="5" t="s">
        <v>162</v>
      </c>
    </row>
    <row r="6901" spans="1:4" x14ac:dyDescent="0.2">
      <c r="A6901">
        <v>6896</v>
      </c>
      <c r="B6901" s="14">
        <f>'EstRev 6-11'!L246</f>
        <v>0</v>
      </c>
      <c r="C6901" s="5">
        <f t="shared" si="85"/>
        <v>6896</v>
      </c>
      <c r="D6901" s="5" t="s">
        <v>162</v>
      </c>
    </row>
    <row r="6902" spans="1:4" x14ac:dyDescent="0.2">
      <c r="A6902">
        <v>6897</v>
      </c>
      <c r="B6902" s="14">
        <f>'EstRev 6-11'!L247</f>
        <v>0</v>
      </c>
      <c r="C6902" s="5">
        <f t="shared" si="85"/>
        <v>6897</v>
      </c>
      <c r="D6902" s="5" t="s">
        <v>162</v>
      </c>
    </row>
    <row r="6903" spans="1:4" x14ac:dyDescent="0.2">
      <c r="A6903">
        <v>6898</v>
      </c>
      <c r="B6903" s="14">
        <f>'EstRev 6-11'!L248</f>
        <v>0</v>
      </c>
      <c r="C6903" s="5">
        <f t="shared" si="85"/>
        <v>6898</v>
      </c>
      <c r="D6903" s="5" t="s">
        <v>162</v>
      </c>
    </row>
    <row r="6904" spans="1:4" x14ac:dyDescent="0.2">
      <c r="A6904">
        <v>6899</v>
      </c>
      <c r="B6904" s="14">
        <f>'EstRev 6-11'!L249</f>
        <v>0</v>
      </c>
      <c r="C6904" s="5">
        <f t="shared" si="85"/>
        <v>6899</v>
      </c>
      <c r="D6904" s="5" t="s">
        <v>162</v>
      </c>
    </row>
    <row r="6905" spans="1:4" x14ac:dyDescent="0.2">
      <c r="A6905">
        <v>6900</v>
      </c>
      <c r="B6905" s="14">
        <f>'EstRev 6-11'!L250</f>
        <v>0</v>
      </c>
      <c r="C6905" s="5">
        <f t="shared" si="85"/>
        <v>6900</v>
      </c>
      <c r="D6905" s="5" t="s">
        <v>162</v>
      </c>
    </row>
    <row r="6906" spans="1:4" x14ac:dyDescent="0.2">
      <c r="A6906">
        <v>6901</v>
      </c>
      <c r="B6906" s="14">
        <f>'EstRev 6-11'!L251</f>
        <v>0</v>
      </c>
      <c r="C6906" s="5">
        <f t="shared" si="85"/>
        <v>6901</v>
      </c>
      <c r="D6906" s="5" t="s">
        <v>162</v>
      </c>
    </row>
    <row r="6907" spans="1:4" x14ac:dyDescent="0.2">
      <c r="A6907">
        <v>6902</v>
      </c>
      <c r="B6907" s="14">
        <f>'EstRev 6-11'!L252</f>
        <v>0</v>
      </c>
      <c r="C6907" s="5">
        <f t="shared" si="85"/>
        <v>6902</v>
      </c>
      <c r="D6907" s="5" t="s">
        <v>162</v>
      </c>
    </row>
    <row r="6908" spans="1:4" x14ac:dyDescent="0.2">
      <c r="A6908">
        <v>6903</v>
      </c>
      <c r="B6908" s="14">
        <f>'EstRev 6-11'!L253</f>
        <v>0</v>
      </c>
      <c r="C6908" s="5">
        <f t="shared" si="85"/>
        <v>6903</v>
      </c>
      <c r="D6908" s="5" t="s">
        <v>162</v>
      </c>
    </row>
    <row r="6909" spans="1:4" x14ac:dyDescent="0.2">
      <c r="A6909">
        <v>6904</v>
      </c>
      <c r="B6909" s="14">
        <f>'EstRev 6-11'!L254</f>
        <v>0</v>
      </c>
      <c r="C6909" s="5">
        <f t="shared" si="85"/>
        <v>6904</v>
      </c>
      <c r="D6909" s="5" t="s">
        <v>162</v>
      </c>
    </row>
    <row r="6910" spans="1:4" x14ac:dyDescent="0.2">
      <c r="A6910">
        <v>6905</v>
      </c>
      <c r="B6910" s="14">
        <f>'EstRev 6-11'!K268</f>
        <v>0</v>
      </c>
      <c r="C6910" s="5">
        <f>A6910-B6910</f>
        <v>6905</v>
      </c>
      <c r="D6910" s="5" t="s">
        <v>348</v>
      </c>
    </row>
    <row r="6911" spans="1:4" x14ac:dyDescent="0.2">
      <c r="A6911">
        <v>6906</v>
      </c>
      <c r="B6911" s="15">
        <f>'EstRev 6-11'!I169</f>
        <v>0</v>
      </c>
      <c r="C6911" s="647">
        <f>A6911-B6911</f>
        <v>6906</v>
      </c>
      <c r="D6911" s="5" t="s">
        <v>348</v>
      </c>
    </row>
    <row r="6912" spans="1:4" x14ac:dyDescent="0.2">
      <c r="A6912">
        <v>6907</v>
      </c>
      <c r="B6912" s="15">
        <f>'EstRev 6-11'!D198</f>
        <v>0</v>
      </c>
      <c r="C6912" s="647">
        <f>A6912-B6912</f>
        <v>6907</v>
      </c>
      <c r="D6912" s="5" t="s">
        <v>348</v>
      </c>
    </row>
    <row r="6913" spans="1:5" x14ac:dyDescent="0.2">
      <c r="A6913" s="3">
        <v>6908</v>
      </c>
      <c r="B6913" s="15"/>
      <c r="C6913" s="647"/>
    </row>
    <row r="6914" spans="1:5" x14ac:dyDescent="0.2">
      <c r="A6914" s="3">
        <v>6909</v>
      </c>
    </row>
    <row r="6915" spans="1:5" x14ac:dyDescent="0.2">
      <c r="A6915">
        <v>6910</v>
      </c>
      <c r="B6915" s="15">
        <f>'EstExp 12-20'!I450</f>
        <v>0</v>
      </c>
      <c r="C6915" s="647">
        <f>A6915-B6915</f>
        <v>6910</v>
      </c>
      <c r="D6915" s="5" t="s">
        <v>348</v>
      </c>
    </row>
    <row r="6916" spans="1:5" x14ac:dyDescent="0.2">
      <c r="A6916">
        <v>6911</v>
      </c>
      <c r="B6916" s="15">
        <f>'EstExp 12-20'!L450</f>
        <v>0</v>
      </c>
      <c r="C6916" s="647">
        <f t="shared" ref="C6916:C6979" si="86">A6916-B6916</f>
        <v>6911</v>
      </c>
      <c r="D6916" s="5" t="s">
        <v>348</v>
      </c>
      <c r="E6916" s="5" t="s">
        <v>347</v>
      </c>
    </row>
    <row r="6917" spans="1:5" x14ac:dyDescent="0.2">
      <c r="A6917">
        <v>6912</v>
      </c>
      <c r="B6917" s="15">
        <f>'BudgetSum 2-4'!C58</f>
        <v>0</v>
      </c>
      <c r="C6917" s="647">
        <f t="shared" si="86"/>
        <v>6912</v>
      </c>
      <c r="D6917" s="5" t="s">
        <v>577</v>
      </c>
    </row>
    <row r="6918" spans="1:5" x14ac:dyDescent="0.2">
      <c r="A6918">
        <v>6913</v>
      </c>
      <c r="B6918" s="15">
        <f>'BudgetSum 2-4'!D58</f>
        <v>0</v>
      </c>
      <c r="C6918" s="647">
        <f t="shared" si="86"/>
        <v>6913</v>
      </c>
      <c r="D6918" s="5" t="s">
        <v>577</v>
      </c>
    </row>
    <row r="6919" spans="1:5" x14ac:dyDescent="0.2">
      <c r="A6919">
        <v>6914</v>
      </c>
      <c r="B6919" s="15">
        <f>'BudgetSum 2-4'!H58</f>
        <v>0</v>
      </c>
      <c r="C6919" s="647">
        <f t="shared" si="86"/>
        <v>6914</v>
      </c>
      <c r="D6919" s="5" t="s">
        <v>577</v>
      </c>
    </row>
    <row r="6920" spans="1:5" x14ac:dyDescent="0.2">
      <c r="A6920">
        <v>6915</v>
      </c>
      <c r="B6920" s="15">
        <f>'BudgetSum 2-4'!C59</f>
        <v>0</v>
      </c>
      <c r="C6920" s="647">
        <f t="shared" si="86"/>
        <v>6915</v>
      </c>
      <c r="D6920" s="5" t="s">
        <v>577</v>
      </c>
    </row>
    <row r="6921" spans="1:5" x14ac:dyDescent="0.2">
      <c r="A6921">
        <v>6916</v>
      </c>
      <c r="B6921" s="15">
        <f>'BudgetSum 2-4'!D59</f>
        <v>0</v>
      </c>
      <c r="C6921" s="647">
        <f t="shared" si="86"/>
        <v>6916</v>
      </c>
      <c r="D6921" s="5" t="s">
        <v>577</v>
      </c>
    </row>
    <row r="6922" spans="1:5" x14ac:dyDescent="0.2">
      <c r="A6922">
        <v>6917</v>
      </c>
      <c r="B6922" s="15">
        <f>'BudgetSum 2-4'!H59</f>
        <v>0</v>
      </c>
      <c r="C6922" s="647">
        <f t="shared" si="86"/>
        <v>6917</v>
      </c>
      <c r="D6922" s="5" t="s">
        <v>577</v>
      </c>
    </row>
    <row r="6923" spans="1:5" x14ac:dyDescent="0.2">
      <c r="A6923">
        <v>6918</v>
      </c>
      <c r="B6923" s="15">
        <f>'BudgetSum 2-4'!C60</f>
        <v>0</v>
      </c>
      <c r="C6923" s="647">
        <f t="shared" si="86"/>
        <v>6918</v>
      </c>
      <c r="D6923" s="5" t="s">
        <v>577</v>
      </c>
    </row>
    <row r="6924" spans="1:5" x14ac:dyDescent="0.2">
      <c r="A6924">
        <v>6919</v>
      </c>
      <c r="B6924" s="15">
        <f>'BudgetSum 2-4'!D60</f>
        <v>0</v>
      </c>
      <c r="C6924" s="647">
        <f t="shared" si="86"/>
        <v>6919</v>
      </c>
      <c r="D6924" s="5" t="s">
        <v>577</v>
      </c>
    </row>
    <row r="6925" spans="1:5" x14ac:dyDescent="0.2">
      <c r="A6925">
        <v>6920</v>
      </c>
      <c r="B6925" s="15">
        <f>'BudgetSum 2-4'!H60</f>
        <v>0</v>
      </c>
      <c r="C6925" s="647">
        <f t="shared" si="86"/>
        <v>6920</v>
      </c>
      <c r="D6925" s="5" t="s">
        <v>577</v>
      </c>
    </row>
    <row r="6926" spans="1:5" x14ac:dyDescent="0.2">
      <c r="A6926">
        <v>6921</v>
      </c>
      <c r="B6926" s="15">
        <f>'BudgetSum 2-4'!C62</f>
        <v>0</v>
      </c>
      <c r="C6926" s="647">
        <f t="shared" si="86"/>
        <v>6921</v>
      </c>
      <c r="D6926" s="5" t="s">
        <v>577</v>
      </c>
    </row>
    <row r="6927" spans="1:5" x14ac:dyDescent="0.2">
      <c r="A6927">
        <v>6922</v>
      </c>
      <c r="B6927" s="15">
        <f>'BudgetSum 2-4'!D62</f>
        <v>0</v>
      </c>
      <c r="C6927" s="647">
        <f t="shared" si="86"/>
        <v>6922</v>
      </c>
      <c r="D6927" s="5" t="s">
        <v>577</v>
      </c>
    </row>
    <row r="6928" spans="1:5" x14ac:dyDescent="0.2">
      <c r="A6928">
        <v>6923</v>
      </c>
      <c r="B6928" s="15">
        <f>'BudgetSum 2-4'!H62</f>
        <v>0</v>
      </c>
      <c r="C6928" s="647">
        <f t="shared" si="86"/>
        <v>6923</v>
      </c>
      <c r="D6928" s="5" t="s">
        <v>577</v>
      </c>
    </row>
    <row r="6929" spans="1:4" x14ac:dyDescent="0.2">
      <c r="A6929">
        <v>6924</v>
      </c>
      <c r="B6929" s="15">
        <f>'BudgetSum 2-4'!C63</f>
        <v>0</v>
      </c>
      <c r="C6929" s="647">
        <f t="shared" si="86"/>
        <v>6924</v>
      </c>
      <c r="D6929" s="5" t="s">
        <v>577</v>
      </c>
    </row>
    <row r="6930" spans="1:4" x14ac:dyDescent="0.2">
      <c r="A6930">
        <v>6925</v>
      </c>
      <c r="B6930" s="15">
        <f>'BudgetSum 2-4'!D63</f>
        <v>0</v>
      </c>
      <c r="C6930" s="647">
        <f t="shared" si="86"/>
        <v>6925</v>
      </c>
      <c r="D6930" s="5" t="s">
        <v>577</v>
      </c>
    </row>
    <row r="6931" spans="1:4" x14ac:dyDescent="0.2">
      <c r="A6931">
        <v>6926</v>
      </c>
      <c r="B6931" s="15">
        <f>'BudgetSum 2-4'!H63</f>
        <v>0</v>
      </c>
      <c r="C6931" s="647">
        <f t="shared" si="86"/>
        <v>6926</v>
      </c>
      <c r="D6931" s="5" t="s">
        <v>577</v>
      </c>
    </row>
    <row r="6932" spans="1:4" x14ac:dyDescent="0.2">
      <c r="A6932">
        <v>6927</v>
      </c>
      <c r="B6932" s="15">
        <f>'BudgetSum 2-4'!C64</f>
        <v>0</v>
      </c>
      <c r="C6932" s="647">
        <f t="shared" si="86"/>
        <v>6927</v>
      </c>
      <c r="D6932" s="5" t="s">
        <v>577</v>
      </c>
    </row>
    <row r="6933" spans="1:4" x14ac:dyDescent="0.2">
      <c r="A6933">
        <v>6928</v>
      </c>
      <c r="B6933" s="15">
        <f>'BudgetSum 2-4'!D64</f>
        <v>0</v>
      </c>
      <c r="C6933" s="647">
        <f t="shared" si="86"/>
        <v>6928</v>
      </c>
      <c r="D6933" s="5" t="s">
        <v>577</v>
      </c>
    </row>
    <row r="6934" spans="1:4" x14ac:dyDescent="0.2">
      <c r="A6934">
        <v>6929</v>
      </c>
      <c r="B6934" s="15">
        <f>'BudgetSum 2-4'!H64</f>
        <v>0</v>
      </c>
      <c r="C6934" s="647">
        <f t="shared" si="86"/>
        <v>6929</v>
      </c>
      <c r="D6934" s="5" t="s">
        <v>577</v>
      </c>
    </row>
    <row r="6935" spans="1:4" x14ac:dyDescent="0.2">
      <c r="A6935">
        <v>6930</v>
      </c>
      <c r="B6935" s="15">
        <f>'BudgetSum 2-4'!C66</f>
        <v>0</v>
      </c>
      <c r="C6935" s="647">
        <f t="shared" si="86"/>
        <v>6930</v>
      </c>
      <c r="D6935" s="5" t="s">
        <v>577</v>
      </c>
    </row>
    <row r="6936" spans="1:4" x14ac:dyDescent="0.2">
      <c r="A6936">
        <v>6931</v>
      </c>
      <c r="B6936" s="15">
        <f>'BudgetSum 2-4'!D66</f>
        <v>0</v>
      </c>
      <c r="C6936" s="647">
        <f t="shared" si="86"/>
        <v>6931</v>
      </c>
      <c r="D6936" s="5" t="s">
        <v>577</v>
      </c>
    </row>
    <row r="6937" spans="1:4" x14ac:dyDescent="0.2">
      <c r="A6937">
        <v>6932</v>
      </c>
      <c r="B6937" s="15">
        <f>'BudgetSum 2-4'!C67</f>
        <v>0</v>
      </c>
      <c r="C6937" s="647">
        <f t="shared" si="86"/>
        <v>6932</v>
      </c>
      <c r="D6937" s="5" t="s">
        <v>577</v>
      </c>
    </row>
    <row r="6938" spans="1:4" x14ac:dyDescent="0.2">
      <c r="A6938">
        <v>6933</v>
      </c>
      <c r="B6938" s="15">
        <f>'BudgetSum 2-4'!D67</f>
        <v>0</v>
      </c>
      <c r="C6938" s="647">
        <f t="shared" si="86"/>
        <v>6933</v>
      </c>
      <c r="D6938" s="5" t="s">
        <v>577</v>
      </c>
    </row>
    <row r="6939" spans="1:4" x14ac:dyDescent="0.2">
      <c r="A6939">
        <v>6934</v>
      </c>
      <c r="B6939" s="15">
        <f>'BudgetSum 2-4'!C68</f>
        <v>0</v>
      </c>
      <c r="C6939" s="647">
        <f t="shared" si="86"/>
        <v>6934</v>
      </c>
      <c r="D6939" s="5" t="s">
        <v>577</v>
      </c>
    </row>
    <row r="6940" spans="1:4" x14ac:dyDescent="0.2">
      <c r="A6940">
        <v>6935</v>
      </c>
      <c r="B6940" s="15">
        <f>'BudgetSum 2-4'!D68</f>
        <v>0</v>
      </c>
      <c r="C6940" s="647">
        <f t="shared" si="86"/>
        <v>6935</v>
      </c>
      <c r="D6940" s="5" t="s">
        <v>577</v>
      </c>
    </row>
    <row r="6941" spans="1:4" x14ac:dyDescent="0.2">
      <c r="A6941">
        <v>6936</v>
      </c>
      <c r="B6941" s="15">
        <f>'BudgetSum 2-4'!C70</f>
        <v>0</v>
      </c>
      <c r="C6941" s="647">
        <f t="shared" si="86"/>
        <v>6936</v>
      </c>
      <c r="D6941" s="5" t="s">
        <v>577</v>
      </c>
    </row>
    <row r="6942" spans="1:4" x14ac:dyDescent="0.2">
      <c r="A6942">
        <v>6937</v>
      </c>
      <c r="B6942" s="15">
        <f>'BudgetSum 2-4'!D70</f>
        <v>0</v>
      </c>
      <c r="C6942" s="647">
        <f t="shared" si="86"/>
        <v>6937</v>
      </c>
      <c r="D6942" s="5" t="s">
        <v>577</v>
      </c>
    </row>
    <row r="6943" spans="1:4" x14ac:dyDescent="0.2">
      <c r="A6943">
        <v>6938</v>
      </c>
      <c r="B6943" s="15">
        <f>'BudgetSum 2-4'!C71</f>
        <v>0</v>
      </c>
      <c r="C6943" s="647">
        <f t="shared" si="86"/>
        <v>6938</v>
      </c>
      <c r="D6943" s="5" t="s">
        <v>577</v>
      </c>
    </row>
    <row r="6944" spans="1:4" x14ac:dyDescent="0.2">
      <c r="A6944">
        <v>6939</v>
      </c>
      <c r="B6944" s="15">
        <f>'BudgetSum 2-4'!D71</f>
        <v>0</v>
      </c>
      <c r="C6944" s="647">
        <f t="shared" si="86"/>
        <v>6939</v>
      </c>
      <c r="D6944" s="5" t="s">
        <v>577</v>
      </c>
    </row>
    <row r="6945" spans="1:4" x14ac:dyDescent="0.2">
      <c r="A6945">
        <v>6940</v>
      </c>
      <c r="B6945" s="15">
        <f>'BudgetSum 2-4'!C72</f>
        <v>0</v>
      </c>
      <c r="C6945" s="647">
        <f t="shared" si="86"/>
        <v>6940</v>
      </c>
      <c r="D6945" s="5" t="s">
        <v>577</v>
      </c>
    </row>
    <row r="6946" spans="1:4" x14ac:dyDescent="0.2">
      <c r="A6946">
        <v>6941</v>
      </c>
      <c r="B6946" s="15">
        <f>'BudgetSum 2-4'!D72</f>
        <v>0</v>
      </c>
      <c r="C6946" s="647">
        <f t="shared" si="86"/>
        <v>6941</v>
      </c>
      <c r="D6946" s="5" t="s">
        <v>577</v>
      </c>
    </row>
    <row r="6947" spans="1:4" x14ac:dyDescent="0.2">
      <c r="A6947">
        <v>6942</v>
      </c>
      <c r="B6947" s="15">
        <f>'BudgetSum 2-4'!C74</f>
        <v>0</v>
      </c>
      <c r="C6947" s="647">
        <f t="shared" si="86"/>
        <v>6942</v>
      </c>
      <c r="D6947" s="5" t="s">
        <v>577</v>
      </c>
    </row>
    <row r="6948" spans="1:4" x14ac:dyDescent="0.2">
      <c r="A6948">
        <v>6943</v>
      </c>
      <c r="B6948" s="15">
        <f>'BudgetSum 2-4'!D74</f>
        <v>0</v>
      </c>
      <c r="C6948" s="647">
        <f t="shared" si="86"/>
        <v>6943</v>
      </c>
      <c r="D6948" s="5" t="s">
        <v>577</v>
      </c>
    </row>
    <row r="6949" spans="1:4" x14ac:dyDescent="0.2">
      <c r="A6949">
        <v>6944</v>
      </c>
      <c r="B6949" s="15">
        <f>'BudgetSum 2-4'!C75</f>
        <v>0</v>
      </c>
      <c r="C6949" s="647">
        <f t="shared" si="86"/>
        <v>6944</v>
      </c>
      <c r="D6949" s="5" t="s">
        <v>577</v>
      </c>
    </row>
    <row r="6950" spans="1:4" x14ac:dyDescent="0.2">
      <c r="A6950">
        <v>6945</v>
      </c>
      <c r="B6950" s="15">
        <f>'BudgetSum 2-4'!D75</f>
        <v>0</v>
      </c>
      <c r="C6950" s="647">
        <f t="shared" si="86"/>
        <v>6945</v>
      </c>
      <c r="D6950" s="5" t="s">
        <v>577</v>
      </c>
    </row>
    <row r="6951" spans="1:4" x14ac:dyDescent="0.2">
      <c r="A6951">
        <v>6946</v>
      </c>
      <c r="B6951" s="15">
        <f>'BudgetSum 2-4'!C76</f>
        <v>0</v>
      </c>
      <c r="C6951" s="647">
        <f t="shared" si="86"/>
        <v>6946</v>
      </c>
      <c r="D6951" s="5" t="s">
        <v>577</v>
      </c>
    </row>
    <row r="6952" spans="1:4" x14ac:dyDescent="0.2">
      <c r="A6952">
        <v>6947</v>
      </c>
      <c r="B6952" s="15">
        <f>'BudgetSum 2-4'!D76</f>
        <v>0</v>
      </c>
      <c r="C6952" s="647">
        <f t="shared" si="86"/>
        <v>6947</v>
      </c>
      <c r="D6952" s="5" t="s">
        <v>577</v>
      </c>
    </row>
    <row r="6953" spans="1:4" x14ac:dyDescent="0.2">
      <c r="A6953">
        <v>6948</v>
      </c>
      <c r="B6953" s="15">
        <f>'BudgetSum 2-4'!C27</f>
        <v>0</v>
      </c>
      <c r="C6953" s="647">
        <f t="shared" si="86"/>
        <v>6948</v>
      </c>
      <c r="D6953" s="5" t="s">
        <v>577</v>
      </c>
    </row>
    <row r="6954" spans="1:4" x14ac:dyDescent="0.2">
      <c r="A6954">
        <v>6949</v>
      </c>
      <c r="B6954" s="15">
        <f>'BudgetSum 2-4'!D27</f>
        <v>0</v>
      </c>
      <c r="C6954" s="647">
        <f t="shared" si="86"/>
        <v>6949</v>
      </c>
      <c r="D6954" s="5" t="s">
        <v>577</v>
      </c>
    </row>
    <row r="6955" spans="1:4" x14ac:dyDescent="0.2">
      <c r="A6955">
        <v>6950</v>
      </c>
      <c r="B6955" s="15">
        <f>'BudgetSum 2-4'!E27</f>
        <v>0</v>
      </c>
      <c r="C6955" s="647">
        <f t="shared" si="86"/>
        <v>6950</v>
      </c>
      <c r="D6955" s="5" t="s">
        <v>577</v>
      </c>
    </row>
    <row r="6956" spans="1:4" x14ac:dyDescent="0.2">
      <c r="A6956">
        <v>6951</v>
      </c>
      <c r="B6956" s="15">
        <f>'BudgetSum 2-4'!F27</f>
        <v>0</v>
      </c>
      <c r="C6956" s="647">
        <f t="shared" si="86"/>
        <v>6951</v>
      </c>
      <c r="D6956" s="5" t="s">
        <v>577</v>
      </c>
    </row>
    <row r="6957" spans="1:4" x14ac:dyDescent="0.2">
      <c r="A6957">
        <v>6952</v>
      </c>
      <c r="B6957" s="15">
        <f>'BudgetSum 2-4'!G27</f>
        <v>0</v>
      </c>
      <c r="C6957" s="647">
        <f t="shared" si="86"/>
        <v>6952</v>
      </c>
      <c r="D6957" s="5" t="s">
        <v>577</v>
      </c>
    </row>
    <row r="6958" spans="1:4" x14ac:dyDescent="0.2">
      <c r="A6958">
        <v>6953</v>
      </c>
      <c r="B6958" s="15">
        <f>'BudgetSum 2-4'!H27</f>
        <v>0</v>
      </c>
      <c r="C6958" s="647">
        <f t="shared" si="86"/>
        <v>6953</v>
      </c>
      <c r="D6958" s="5" t="s">
        <v>577</v>
      </c>
    </row>
    <row r="6959" spans="1:4" x14ac:dyDescent="0.2">
      <c r="A6959">
        <v>6954</v>
      </c>
      <c r="B6959" s="15">
        <f>'BudgetSum 2-4'!J27</f>
        <v>0</v>
      </c>
      <c r="C6959" s="647">
        <f t="shared" si="86"/>
        <v>6954</v>
      </c>
      <c r="D6959" s="5" t="s">
        <v>577</v>
      </c>
    </row>
    <row r="6960" spans="1:4" x14ac:dyDescent="0.2">
      <c r="A6960">
        <v>6955</v>
      </c>
      <c r="B6960" s="15">
        <f>'BudgetSum 2-4'!K27</f>
        <v>0</v>
      </c>
      <c r="C6960" s="647">
        <f t="shared" si="86"/>
        <v>6955</v>
      </c>
      <c r="D6960" s="5" t="s">
        <v>577</v>
      </c>
    </row>
    <row r="6961" spans="1:4" x14ac:dyDescent="0.2">
      <c r="A6961">
        <v>6956</v>
      </c>
      <c r="B6961" s="15">
        <f>'EstRev 6-11'!D255</f>
        <v>0</v>
      </c>
      <c r="C6961" s="647">
        <f t="shared" si="86"/>
        <v>6956</v>
      </c>
      <c r="D6961" s="5" t="s">
        <v>584</v>
      </c>
    </row>
    <row r="6962" spans="1:4" x14ac:dyDescent="0.2">
      <c r="A6962" s="3">
        <v>6957</v>
      </c>
      <c r="B6962" s="15"/>
      <c r="C6962" s="647"/>
      <c r="D6962" s="5" t="s">
        <v>584</v>
      </c>
    </row>
    <row r="6963" spans="1:4" x14ac:dyDescent="0.2">
      <c r="A6963" s="3">
        <v>6958</v>
      </c>
      <c r="B6963" s="15"/>
      <c r="C6963" s="647"/>
      <c r="D6963" s="5" t="s">
        <v>584</v>
      </c>
    </row>
    <row r="6964" spans="1:4" x14ac:dyDescent="0.2">
      <c r="A6964" s="3">
        <v>6959</v>
      </c>
      <c r="B6964" s="15"/>
      <c r="C6964" s="647"/>
      <c r="D6964" s="5" t="s">
        <v>584</v>
      </c>
    </row>
    <row r="6965" spans="1:4" x14ac:dyDescent="0.2">
      <c r="A6965" s="3">
        <v>6960</v>
      </c>
      <c r="B6965" s="15"/>
      <c r="C6965" s="647"/>
      <c r="D6965" s="5" t="s">
        <v>584</v>
      </c>
    </row>
    <row r="6966" spans="1:4" x14ac:dyDescent="0.2">
      <c r="A6966" s="3">
        <v>6961</v>
      </c>
      <c r="B6966" s="15"/>
      <c r="C6966" s="647"/>
      <c r="D6966" s="5" t="s">
        <v>584</v>
      </c>
    </row>
    <row r="6967" spans="1:4" x14ac:dyDescent="0.2">
      <c r="A6967" s="3">
        <v>6962</v>
      </c>
      <c r="B6967" s="15"/>
      <c r="C6967" s="647"/>
      <c r="D6967" s="5" t="s">
        <v>584</v>
      </c>
    </row>
    <row r="6968" spans="1:4" x14ac:dyDescent="0.2">
      <c r="A6968" s="3">
        <v>6963</v>
      </c>
      <c r="B6968" s="15"/>
      <c r="C6968" s="647"/>
      <c r="D6968" s="5" t="s">
        <v>584</v>
      </c>
    </row>
    <row r="6969" spans="1:4" x14ac:dyDescent="0.2">
      <c r="A6969">
        <v>6964</v>
      </c>
      <c r="B6969" s="15">
        <f>'EstRev 6-11'!F268</f>
        <v>0</v>
      </c>
      <c r="C6969" s="647">
        <f t="shared" si="86"/>
        <v>6964</v>
      </c>
      <c r="D6969" s="5" t="s">
        <v>584</v>
      </c>
    </row>
    <row r="6970" spans="1:4" x14ac:dyDescent="0.2">
      <c r="A6970">
        <v>6965</v>
      </c>
      <c r="B6970" s="15">
        <f>'CashSum 5'!C6</f>
        <v>0</v>
      </c>
      <c r="C6970" s="647">
        <f t="shared" si="86"/>
        <v>6965</v>
      </c>
      <c r="D6970" s="5" t="s">
        <v>584</v>
      </c>
    </row>
    <row r="6971" spans="1:4" x14ac:dyDescent="0.2">
      <c r="A6971">
        <v>6966</v>
      </c>
      <c r="B6971" s="15">
        <f>'CashSum 5'!C9</f>
        <v>0</v>
      </c>
      <c r="C6971" s="647">
        <f t="shared" si="86"/>
        <v>6966</v>
      </c>
      <c r="D6971" s="5" t="s">
        <v>584</v>
      </c>
    </row>
    <row r="6972" spans="1:4" x14ac:dyDescent="0.2">
      <c r="A6972">
        <v>6967</v>
      </c>
      <c r="B6972" s="15">
        <f>'CashSum 5'!D9</f>
        <v>0</v>
      </c>
      <c r="C6972" s="647">
        <f t="shared" si="86"/>
        <v>6967</v>
      </c>
      <c r="D6972" s="5" t="s">
        <v>584</v>
      </c>
    </row>
    <row r="6973" spans="1:4" x14ac:dyDescent="0.2">
      <c r="A6973">
        <v>6968</v>
      </c>
      <c r="B6973" s="15">
        <f>'CashSum 5'!E6</f>
        <v>0</v>
      </c>
      <c r="C6973" s="647">
        <f t="shared" si="86"/>
        <v>6968</v>
      </c>
      <c r="D6973" s="5" t="s">
        <v>584</v>
      </c>
    </row>
    <row r="6974" spans="1:4" x14ac:dyDescent="0.2">
      <c r="A6974">
        <v>6969</v>
      </c>
      <c r="B6974" s="15">
        <f>'CashSum 5'!E17</f>
        <v>0</v>
      </c>
      <c r="C6974" s="647">
        <f t="shared" si="86"/>
        <v>6969</v>
      </c>
      <c r="D6974" s="5" t="s">
        <v>584</v>
      </c>
    </row>
    <row r="6975" spans="1:4" x14ac:dyDescent="0.2">
      <c r="A6975">
        <v>6970</v>
      </c>
      <c r="B6975" s="15">
        <f>'CashSum 5'!G6</f>
        <v>0</v>
      </c>
      <c r="C6975" s="647">
        <f t="shared" si="86"/>
        <v>6970</v>
      </c>
      <c r="D6975" s="5" t="s">
        <v>584</v>
      </c>
    </row>
    <row r="6976" spans="1:4" x14ac:dyDescent="0.2">
      <c r="A6976">
        <v>6971</v>
      </c>
      <c r="B6976" s="15">
        <f>'CashSum 5'!H6</f>
        <v>0</v>
      </c>
      <c r="C6976" s="647">
        <f t="shared" si="86"/>
        <v>6971</v>
      </c>
      <c r="D6976" s="5" t="s">
        <v>584</v>
      </c>
    </row>
    <row r="6977" spans="1:4" x14ac:dyDescent="0.2">
      <c r="A6977">
        <v>6972</v>
      </c>
      <c r="B6977" s="15">
        <f>'CashSum 5'!H9</f>
        <v>0</v>
      </c>
      <c r="C6977" s="647">
        <f t="shared" si="86"/>
        <v>6972</v>
      </c>
      <c r="D6977" s="5" t="s">
        <v>584</v>
      </c>
    </row>
    <row r="6978" spans="1:4" x14ac:dyDescent="0.2">
      <c r="A6978">
        <v>6973</v>
      </c>
      <c r="B6978" s="15">
        <f>'CashSum 5'!K6</f>
        <v>0</v>
      </c>
      <c r="C6978" s="647">
        <f t="shared" si="86"/>
        <v>6973</v>
      </c>
      <c r="D6978" s="5" t="s">
        <v>584</v>
      </c>
    </row>
    <row r="6979" spans="1:4" x14ac:dyDescent="0.2">
      <c r="A6979">
        <v>6974</v>
      </c>
      <c r="B6979" s="15">
        <f>'CashSum 5'!K8</f>
        <v>0</v>
      </c>
      <c r="C6979" s="647">
        <f t="shared" si="86"/>
        <v>6974</v>
      </c>
      <c r="D6979" s="5" t="s">
        <v>584</v>
      </c>
    </row>
    <row r="6980" spans="1:4" x14ac:dyDescent="0.2">
      <c r="A6980">
        <v>6975</v>
      </c>
      <c r="B6980" s="15">
        <f>'CashSum 5'!K9</f>
        <v>0</v>
      </c>
      <c r="C6980" s="647">
        <f t="shared" ref="C6980:C7043" si="87">A6980-B6980</f>
        <v>6975</v>
      </c>
      <c r="D6980" s="5" t="s">
        <v>584</v>
      </c>
    </row>
    <row r="6981" spans="1:4" x14ac:dyDescent="0.2">
      <c r="A6981">
        <v>6976</v>
      </c>
      <c r="B6981" s="15">
        <f>'CashSum 5'!K18</f>
        <v>0</v>
      </c>
      <c r="C6981" s="647">
        <f t="shared" si="87"/>
        <v>6976</v>
      </c>
      <c r="D6981" s="5" t="s">
        <v>584</v>
      </c>
    </row>
    <row r="6982" spans="1:4" x14ac:dyDescent="0.2">
      <c r="A6982">
        <v>6977</v>
      </c>
      <c r="B6982" s="15">
        <f>'EstExp 12-20'!F6</f>
        <v>0</v>
      </c>
      <c r="C6982" s="647">
        <f t="shared" si="87"/>
        <v>6977</v>
      </c>
      <c r="D6982" s="5" t="s">
        <v>586</v>
      </c>
    </row>
    <row r="6983" spans="1:4" x14ac:dyDescent="0.2">
      <c r="A6983">
        <v>6978</v>
      </c>
      <c r="B6983" s="15">
        <f>'EstExp 12-20'!L6</f>
        <v>0</v>
      </c>
      <c r="C6983" s="647">
        <f t="shared" si="87"/>
        <v>6978</v>
      </c>
      <c r="D6983" s="5" t="s">
        <v>596</v>
      </c>
    </row>
    <row r="6984" spans="1:4" x14ac:dyDescent="0.2">
      <c r="A6984">
        <v>6979</v>
      </c>
      <c r="B6984" s="15">
        <f>'EstRev 6-11'!D256</f>
        <v>0</v>
      </c>
      <c r="C6984" s="647">
        <f t="shared" si="87"/>
        <v>6979</v>
      </c>
      <c r="D6984" s="5" t="s">
        <v>599</v>
      </c>
    </row>
    <row r="6985" spans="1:4" x14ac:dyDescent="0.2">
      <c r="A6985">
        <v>6980</v>
      </c>
      <c r="B6985" s="15">
        <f>'EstRev 6-11'!E256</f>
        <v>0</v>
      </c>
      <c r="C6985" s="647">
        <f t="shared" si="87"/>
        <v>6980</v>
      </c>
      <c r="D6985" s="5" t="s">
        <v>600</v>
      </c>
    </row>
    <row r="6986" spans="1:4" x14ac:dyDescent="0.2">
      <c r="A6986" s="3">
        <v>6981</v>
      </c>
      <c r="B6986" s="15"/>
      <c r="C6986" s="647"/>
      <c r="D6986" s="5" t="s">
        <v>601</v>
      </c>
    </row>
    <row r="6987" spans="1:4" x14ac:dyDescent="0.2">
      <c r="A6987">
        <v>6982</v>
      </c>
      <c r="B6987" s="15">
        <f>'EstRev 6-11'!G256</f>
        <v>0</v>
      </c>
      <c r="C6987" s="647">
        <f t="shared" si="87"/>
        <v>6982</v>
      </c>
      <c r="D6987" s="5" t="s">
        <v>602</v>
      </c>
    </row>
    <row r="6988" spans="1:4" x14ac:dyDescent="0.2">
      <c r="A6988">
        <v>6983</v>
      </c>
      <c r="B6988" s="15">
        <f>'EstRev 6-11'!H256</f>
        <v>0</v>
      </c>
      <c r="C6988" s="647">
        <f t="shared" si="87"/>
        <v>6983</v>
      </c>
      <c r="D6988" s="5" t="s">
        <v>603</v>
      </c>
    </row>
    <row r="6989" spans="1:4" x14ac:dyDescent="0.2">
      <c r="A6989" s="3">
        <v>6984</v>
      </c>
      <c r="B6989" s="15"/>
      <c r="C6989" s="647"/>
      <c r="D6989" s="5" t="s">
        <v>604</v>
      </c>
    </row>
    <row r="6990" spans="1:4" x14ac:dyDescent="0.2">
      <c r="A6990" s="3">
        <v>6985</v>
      </c>
      <c r="B6990" s="15"/>
      <c r="C6990" s="647"/>
      <c r="D6990" s="5" t="s">
        <v>605</v>
      </c>
    </row>
    <row r="6991" spans="1:4" x14ac:dyDescent="0.2">
      <c r="A6991" s="3">
        <v>6986</v>
      </c>
      <c r="B6991" s="15"/>
      <c r="C6991" s="647"/>
      <c r="D6991" s="5" t="s">
        <v>606</v>
      </c>
    </row>
    <row r="6992" spans="1:4" x14ac:dyDescent="0.2">
      <c r="A6992">
        <v>6987</v>
      </c>
      <c r="B6992" s="15">
        <f>'EstExp 12-20'!F137</f>
        <v>0</v>
      </c>
      <c r="C6992" s="647">
        <f t="shared" si="87"/>
        <v>6987</v>
      </c>
    </row>
    <row r="6993" spans="1:4" x14ac:dyDescent="0.2">
      <c r="A6993">
        <v>6988</v>
      </c>
      <c r="B6993" s="15">
        <f>'EstExp 12-20'!I137</f>
        <v>0</v>
      </c>
      <c r="C6993" s="647">
        <f t="shared" si="87"/>
        <v>6988</v>
      </c>
    </row>
    <row r="6994" spans="1:4" x14ac:dyDescent="0.2">
      <c r="A6994">
        <v>6989</v>
      </c>
      <c r="B6994" s="15">
        <f>'EstExp 12-20'!L137</f>
        <v>0</v>
      </c>
      <c r="C6994" s="647">
        <f t="shared" si="87"/>
        <v>6989</v>
      </c>
    </row>
    <row r="6995" spans="1:4" x14ac:dyDescent="0.2">
      <c r="A6995">
        <v>6990</v>
      </c>
      <c r="B6995" s="14">
        <f>'EstExp 12-20'!I161</f>
        <v>0</v>
      </c>
      <c r="C6995" s="647">
        <f t="shared" si="87"/>
        <v>6990</v>
      </c>
      <c r="D6995" s="5" t="s">
        <v>646</v>
      </c>
    </row>
    <row r="6996" spans="1:4" x14ac:dyDescent="0.2">
      <c r="A6996">
        <v>6991</v>
      </c>
      <c r="B6996" s="14">
        <f>'EstExp 12-20'!L161</f>
        <v>0</v>
      </c>
      <c r="C6996" s="647">
        <f t="shared" si="87"/>
        <v>6991</v>
      </c>
      <c r="D6996" s="5" t="s">
        <v>646</v>
      </c>
    </row>
    <row r="6997" spans="1:4" x14ac:dyDescent="0.2">
      <c r="A6997">
        <v>6992</v>
      </c>
      <c r="B6997" s="14">
        <f>'EstExp 12-20'!I162</f>
        <v>0</v>
      </c>
      <c r="C6997" s="647">
        <f t="shared" si="87"/>
        <v>6992</v>
      </c>
      <c r="D6997" s="5" t="s">
        <v>646</v>
      </c>
    </row>
    <row r="6998" spans="1:4" x14ac:dyDescent="0.2">
      <c r="A6998">
        <v>6993</v>
      </c>
      <c r="B6998" s="14">
        <f>'EstExp 12-20'!L162</f>
        <v>0</v>
      </c>
      <c r="C6998" s="647">
        <f t="shared" si="87"/>
        <v>6993</v>
      </c>
      <c r="D6998" s="5" t="s">
        <v>646</v>
      </c>
    </row>
    <row r="6999" spans="1:4" x14ac:dyDescent="0.2">
      <c r="A6999" s="3">
        <v>6994</v>
      </c>
      <c r="C6999" s="647"/>
    </row>
    <row r="7000" spans="1:4" x14ac:dyDescent="0.2">
      <c r="A7000" s="3">
        <v>6995</v>
      </c>
      <c r="C7000" s="647"/>
    </row>
    <row r="7001" spans="1:4" x14ac:dyDescent="0.2">
      <c r="A7001">
        <v>6996</v>
      </c>
      <c r="B7001" s="14">
        <f>'EstExp 12-20'!I163</f>
        <v>0</v>
      </c>
      <c r="C7001" s="647">
        <f t="shared" si="87"/>
        <v>6996</v>
      </c>
      <c r="D7001" s="5" t="s">
        <v>646</v>
      </c>
    </row>
    <row r="7002" spans="1:4" x14ac:dyDescent="0.2">
      <c r="A7002">
        <v>6997</v>
      </c>
      <c r="B7002" s="14">
        <f>'EstExp 12-20'!L163</f>
        <v>0</v>
      </c>
      <c r="C7002" s="647">
        <f t="shared" si="87"/>
        <v>6997</v>
      </c>
      <c r="D7002" s="5" t="s">
        <v>646</v>
      </c>
    </row>
    <row r="7003" spans="1:4" x14ac:dyDescent="0.2">
      <c r="A7003">
        <v>6998</v>
      </c>
      <c r="B7003" s="14">
        <f>'EstExp 12-20'!I164</f>
        <v>0</v>
      </c>
      <c r="C7003" s="647">
        <f t="shared" si="87"/>
        <v>6998</v>
      </c>
      <c r="D7003" s="5" t="s">
        <v>646</v>
      </c>
    </row>
    <row r="7004" spans="1:4" x14ac:dyDescent="0.2">
      <c r="A7004">
        <v>6999</v>
      </c>
      <c r="B7004" s="14">
        <f>'EstExp 12-20'!L164</f>
        <v>0</v>
      </c>
      <c r="C7004" s="647">
        <f t="shared" si="87"/>
        <v>6999</v>
      </c>
      <c r="D7004" s="5" t="s">
        <v>646</v>
      </c>
    </row>
    <row r="7005" spans="1:4" x14ac:dyDescent="0.2">
      <c r="A7005">
        <v>7000</v>
      </c>
      <c r="B7005" s="14">
        <f>'EstExp 12-20'!E279</f>
        <v>0</v>
      </c>
      <c r="C7005" s="647">
        <f t="shared" si="87"/>
        <v>7000</v>
      </c>
      <c r="D7005" s="5" t="s">
        <v>646</v>
      </c>
    </row>
    <row r="7006" spans="1:4" x14ac:dyDescent="0.2">
      <c r="A7006">
        <v>7001</v>
      </c>
      <c r="B7006" s="14">
        <f>'EstExp 12-20'!L279</f>
        <v>0</v>
      </c>
      <c r="C7006" s="647">
        <f t="shared" si="87"/>
        <v>7001</v>
      </c>
      <c r="D7006" s="5" t="s">
        <v>646</v>
      </c>
    </row>
    <row r="7007" spans="1:4" x14ac:dyDescent="0.2">
      <c r="A7007">
        <v>7002</v>
      </c>
      <c r="B7007" s="14">
        <f>'EstExp 12-20'!F303</f>
        <v>0</v>
      </c>
      <c r="C7007" s="647">
        <f t="shared" si="87"/>
        <v>7002</v>
      </c>
      <c r="D7007" s="5" t="s">
        <v>646</v>
      </c>
    </row>
    <row r="7008" spans="1:4" x14ac:dyDescent="0.2">
      <c r="A7008">
        <v>7003</v>
      </c>
      <c r="B7008" s="14">
        <f>'EstExp 12-20'!I303</f>
        <v>0</v>
      </c>
      <c r="C7008" s="647">
        <f t="shared" si="87"/>
        <v>7003</v>
      </c>
      <c r="D7008" s="5" t="s">
        <v>646</v>
      </c>
    </row>
    <row r="7009" spans="1:4" x14ac:dyDescent="0.2">
      <c r="A7009">
        <v>7004</v>
      </c>
      <c r="B7009" s="14">
        <f>'EstExp 12-20'!L303</f>
        <v>0</v>
      </c>
      <c r="C7009" s="647">
        <f t="shared" si="87"/>
        <v>7004</v>
      </c>
      <c r="D7009" s="5" t="s">
        <v>646</v>
      </c>
    </row>
    <row r="7010" spans="1:4" x14ac:dyDescent="0.2">
      <c r="A7010">
        <v>7005</v>
      </c>
      <c r="B7010" s="15">
        <f>'EstExp 12-20'!I391</f>
        <v>0</v>
      </c>
      <c r="C7010" s="647">
        <f t="shared" si="87"/>
        <v>7005</v>
      </c>
      <c r="D7010" s="5" t="s">
        <v>646</v>
      </c>
    </row>
    <row r="7011" spans="1:4" x14ac:dyDescent="0.2">
      <c r="A7011">
        <v>7006</v>
      </c>
      <c r="B7011" s="15">
        <f>'EstExp 12-20'!L391</f>
        <v>0</v>
      </c>
      <c r="C7011" s="647">
        <f t="shared" si="87"/>
        <v>7006</v>
      </c>
      <c r="D7011" s="5" t="s">
        <v>646</v>
      </c>
    </row>
    <row r="7012" spans="1:4" x14ac:dyDescent="0.2">
      <c r="A7012">
        <v>7007</v>
      </c>
      <c r="B7012" s="15">
        <f>'EstExp 12-20'!I392</f>
        <v>0</v>
      </c>
      <c r="C7012" s="647">
        <f t="shared" si="87"/>
        <v>7007</v>
      </c>
      <c r="D7012" s="5" t="s">
        <v>646</v>
      </c>
    </row>
    <row r="7013" spans="1:4" x14ac:dyDescent="0.2">
      <c r="A7013">
        <v>7008</v>
      </c>
      <c r="B7013" s="15">
        <f>'EstExp 12-20'!L392</f>
        <v>0</v>
      </c>
      <c r="C7013" s="647">
        <f t="shared" si="87"/>
        <v>7008</v>
      </c>
      <c r="D7013" s="5" t="s">
        <v>646</v>
      </c>
    </row>
    <row r="7014" spans="1:4" x14ac:dyDescent="0.2">
      <c r="A7014">
        <v>7009</v>
      </c>
      <c r="B7014" s="15">
        <f>'EstExp 12-20'!I397</f>
        <v>0</v>
      </c>
      <c r="C7014" s="647">
        <f t="shared" si="87"/>
        <v>7009</v>
      </c>
      <c r="D7014" s="5" t="s">
        <v>646</v>
      </c>
    </row>
    <row r="7015" spans="1:4" x14ac:dyDescent="0.2">
      <c r="A7015">
        <v>7010</v>
      </c>
      <c r="B7015" s="15">
        <f>'EstExp 12-20'!L397</f>
        <v>0</v>
      </c>
      <c r="C7015" s="647">
        <f t="shared" si="87"/>
        <v>7010</v>
      </c>
      <c r="D7015" s="5" t="s">
        <v>646</v>
      </c>
    </row>
    <row r="7016" spans="1:4" x14ac:dyDescent="0.2">
      <c r="A7016">
        <v>7011</v>
      </c>
      <c r="B7016" s="14">
        <f>'EstExp 12-20'!I440</f>
        <v>0</v>
      </c>
      <c r="C7016" s="647">
        <f t="shared" si="87"/>
        <v>7011</v>
      </c>
      <c r="D7016" s="5" t="s">
        <v>646</v>
      </c>
    </row>
    <row r="7017" spans="1:4" x14ac:dyDescent="0.2">
      <c r="A7017">
        <v>7012</v>
      </c>
      <c r="B7017" s="14">
        <f>'EstExp 12-20'!L440</f>
        <v>0</v>
      </c>
      <c r="C7017" s="647">
        <f t="shared" si="87"/>
        <v>7012</v>
      </c>
      <c r="D7017" s="5" t="s">
        <v>646</v>
      </c>
    </row>
    <row r="7018" spans="1:4" x14ac:dyDescent="0.2">
      <c r="A7018">
        <v>7013</v>
      </c>
      <c r="B7018" s="14">
        <f>'EstExp 12-20'!I441</f>
        <v>0</v>
      </c>
      <c r="C7018" s="647">
        <f t="shared" si="87"/>
        <v>7013</v>
      </c>
      <c r="D7018" s="5" t="s">
        <v>646</v>
      </c>
    </row>
    <row r="7019" spans="1:4" x14ac:dyDescent="0.2">
      <c r="A7019">
        <v>7014</v>
      </c>
      <c r="B7019" s="14">
        <f>'EstExp 12-20'!L441</f>
        <v>0</v>
      </c>
      <c r="C7019" s="647">
        <f t="shared" si="87"/>
        <v>7014</v>
      </c>
      <c r="D7019" s="5" t="s">
        <v>646</v>
      </c>
    </row>
    <row r="7020" spans="1:4" x14ac:dyDescent="0.2">
      <c r="A7020">
        <v>7015</v>
      </c>
      <c r="B7020" s="14">
        <f>'BudgetSum 2-4'!J16</f>
        <v>0</v>
      </c>
      <c r="C7020" s="647">
        <f t="shared" si="87"/>
        <v>7015</v>
      </c>
      <c r="D7020" s="5" t="s">
        <v>646</v>
      </c>
    </row>
    <row r="7021" spans="1:4" x14ac:dyDescent="0.2">
      <c r="A7021">
        <v>7016</v>
      </c>
      <c r="B7021" s="15">
        <f>'EstRev 6-11'!D122</f>
        <v>0</v>
      </c>
      <c r="C7021" s="647">
        <f t="shared" si="87"/>
        <v>7016</v>
      </c>
      <c r="D7021" s="5" t="s">
        <v>741</v>
      </c>
    </row>
    <row r="7022" spans="1:4" x14ac:dyDescent="0.2">
      <c r="A7022">
        <v>7017</v>
      </c>
      <c r="B7022" s="15">
        <f>'EstRev 6-11'!E122</f>
        <v>0</v>
      </c>
      <c r="C7022" s="647">
        <f t="shared" si="87"/>
        <v>7017</v>
      </c>
      <c r="D7022" s="5" t="s">
        <v>741</v>
      </c>
    </row>
    <row r="7023" spans="1:4" x14ac:dyDescent="0.2">
      <c r="A7023">
        <v>7018</v>
      </c>
      <c r="B7023" s="15">
        <f>'EstRev 6-11'!F122</f>
        <v>0</v>
      </c>
      <c r="C7023" s="647">
        <f t="shared" si="87"/>
        <v>7018</v>
      </c>
      <c r="D7023" s="5" t="s">
        <v>741</v>
      </c>
    </row>
    <row r="7024" spans="1:4" x14ac:dyDescent="0.2">
      <c r="A7024">
        <v>7019</v>
      </c>
      <c r="B7024" s="15">
        <f>'EstRev 6-11'!G122</f>
        <v>0</v>
      </c>
      <c r="C7024" s="647">
        <f t="shared" si="87"/>
        <v>7019</v>
      </c>
      <c r="D7024" s="5" t="s">
        <v>741</v>
      </c>
    </row>
    <row r="7025" spans="1:4" x14ac:dyDescent="0.2">
      <c r="A7025">
        <v>7020</v>
      </c>
      <c r="B7025" s="15">
        <f>'EstRev 6-11'!H122</f>
        <v>0</v>
      </c>
      <c r="C7025" s="647">
        <f t="shared" si="87"/>
        <v>7020</v>
      </c>
      <c r="D7025" s="5" t="s">
        <v>741</v>
      </c>
    </row>
    <row r="7026" spans="1:4" x14ac:dyDescent="0.2">
      <c r="A7026">
        <v>7021</v>
      </c>
      <c r="B7026" s="15">
        <f>'EstRev 6-11'!I122</f>
        <v>0</v>
      </c>
      <c r="C7026" s="647">
        <f t="shared" si="87"/>
        <v>7021</v>
      </c>
      <c r="D7026" s="5" t="s">
        <v>741</v>
      </c>
    </row>
    <row r="7027" spans="1:4" x14ac:dyDescent="0.2">
      <c r="A7027">
        <v>7022</v>
      </c>
      <c r="B7027" s="15">
        <f>'EstRev 6-11'!K122</f>
        <v>0</v>
      </c>
      <c r="C7027" s="647">
        <f t="shared" si="87"/>
        <v>7022</v>
      </c>
      <c r="D7027" s="5" t="s">
        <v>741</v>
      </c>
    </row>
    <row r="7028" spans="1:4" x14ac:dyDescent="0.2">
      <c r="A7028">
        <v>7023</v>
      </c>
      <c r="B7028" s="15">
        <f>'EstRev 6-11'!L122</f>
        <v>0</v>
      </c>
      <c r="C7028" s="647">
        <f t="shared" si="87"/>
        <v>7023</v>
      </c>
      <c r="D7028" s="5" t="s">
        <v>741</v>
      </c>
    </row>
    <row r="7029" spans="1:4" x14ac:dyDescent="0.2">
      <c r="A7029">
        <v>7024</v>
      </c>
      <c r="B7029" s="15">
        <f>'EstRev 6-11'!D263</f>
        <v>0</v>
      </c>
      <c r="C7029" s="647">
        <f t="shared" si="87"/>
        <v>7024</v>
      </c>
      <c r="D7029" s="5" t="s">
        <v>742</v>
      </c>
    </row>
    <row r="7030" spans="1:4" x14ac:dyDescent="0.2">
      <c r="A7030">
        <v>7025</v>
      </c>
      <c r="B7030" s="15">
        <f>'EstRev 6-11'!E263</f>
        <v>0</v>
      </c>
      <c r="C7030" s="647">
        <f t="shared" si="87"/>
        <v>7025</v>
      </c>
      <c r="D7030" s="5" t="s">
        <v>742</v>
      </c>
    </row>
    <row r="7031" spans="1:4" x14ac:dyDescent="0.2">
      <c r="A7031">
        <v>7026</v>
      </c>
      <c r="B7031" s="15">
        <f>'EstRev 6-11'!G263</f>
        <v>0</v>
      </c>
      <c r="C7031" s="647">
        <f t="shared" si="87"/>
        <v>7026</v>
      </c>
      <c r="D7031" s="5" t="s">
        <v>742</v>
      </c>
    </row>
    <row r="7032" spans="1:4" x14ac:dyDescent="0.2">
      <c r="A7032">
        <v>7027</v>
      </c>
      <c r="B7032" s="15">
        <f>'EstRev 6-11'!H263</f>
        <v>0</v>
      </c>
      <c r="C7032" s="647">
        <f t="shared" si="87"/>
        <v>7027</v>
      </c>
      <c r="D7032" s="5" t="s">
        <v>742</v>
      </c>
    </row>
    <row r="7033" spans="1:4" x14ac:dyDescent="0.2">
      <c r="A7033">
        <v>7028</v>
      </c>
      <c r="B7033" s="15">
        <f>'EstRev 6-11'!D264</f>
        <v>0</v>
      </c>
      <c r="C7033" s="647">
        <f t="shared" si="87"/>
        <v>7028</v>
      </c>
      <c r="D7033" s="5" t="s">
        <v>743</v>
      </c>
    </row>
    <row r="7034" spans="1:4" x14ac:dyDescent="0.2">
      <c r="A7034">
        <v>7029</v>
      </c>
      <c r="B7034" s="15">
        <f>'EstRev 6-11'!E264</f>
        <v>0</v>
      </c>
      <c r="C7034" s="647">
        <f t="shared" si="87"/>
        <v>7029</v>
      </c>
      <c r="D7034" s="5" t="s">
        <v>743</v>
      </c>
    </row>
    <row r="7035" spans="1:4" x14ac:dyDescent="0.2">
      <c r="A7035">
        <v>7030</v>
      </c>
      <c r="B7035" s="15">
        <f>'EstRev 6-11'!G264</f>
        <v>0</v>
      </c>
      <c r="C7035" s="647">
        <f t="shared" si="87"/>
        <v>7030</v>
      </c>
      <c r="D7035" s="5" t="s">
        <v>743</v>
      </c>
    </row>
    <row r="7036" spans="1:4" x14ac:dyDescent="0.2">
      <c r="A7036">
        <v>7031</v>
      </c>
      <c r="B7036" s="15">
        <f>'EstRev 6-11'!H264</f>
        <v>0</v>
      </c>
      <c r="C7036" s="647">
        <f t="shared" si="87"/>
        <v>7031</v>
      </c>
      <c r="D7036" s="5" t="s">
        <v>743</v>
      </c>
    </row>
    <row r="7037" spans="1:4" x14ac:dyDescent="0.2">
      <c r="A7037">
        <v>7032</v>
      </c>
      <c r="B7037" s="15">
        <f>'BudgetSum 2-4'!J13</f>
        <v>0</v>
      </c>
      <c r="C7037" s="647">
        <f t="shared" si="87"/>
        <v>7032</v>
      </c>
      <c r="D7037" s="5" t="s">
        <v>776</v>
      </c>
    </row>
    <row r="7038" spans="1:4" x14ac:dyDescent="0.2">
      <c r="A7038">
        <v>7033</v>
      </c>
      <c r="B7038" s="15">
        <f>'BudgetSum 2-4'!J15</f>
        <v>0</v>
      </c>
      <c r="C7038" s="647">
        <f t="shared" si="87"/>
        <v>7033</v>
      </c>
      <c r="D7038" s="5" t="s">
        <v>776</v>
      </c>
    </row>
    <row r="7039" spans="1:4" x14ac:dyDescent="0.2">
      <c r="A7039">
        <v>7034</v>
      </c>
      <c r="B7039" s="15">
        <f>'BudgetSum 2-4'!C83</f>
        <v>2986420</v>
      </c>
      <c r="C7039" s="647">
        <f t="shared" si="87"/>
        <v>-2979386</v>
      </c>
      <c r="D7039" s="5" t="s">
        <v>776</v>
      </c>
    </row>
    <row r="7040" spans="1:4" x14ac:dyDescent="0.2">
      <c r="A7040">
        <v>7035</v>
      </c>
      <c r="B7040" s="15">
        <f>'BudgetSum 2-4'!C85</f>
        <v>0</v>
      </c>
      <c r="C7040" s="647">
        <f t="shared" si="87"/>
        <v>7035</v>
      </c>
      <c r="D7040" s="5" t="s">
        <v>776</v>
      </c>
    </row>
    <row r="7041" spans="1:4" x14ac:dyDescent="0.2">
      <c r="A7041">
        <v>7036</v>
      </c>
      <c r="B7041" s="15">
        <f>'BudgetSum 2-4'!C87</f>
        <v>0</v>
      </c>
      <c r="C7041" s="647">
        <f t="shared" si="87"/>
        <v>7036</v>
      </c>
      <c r="D7041" s="5" t="s">
        <v>776</v>
      </c>
    </row>
    <row r="7042" spans="1:4" x14ac:dyDescent="0.2">
      <c r="A7042">
        <v>7037</v>
      </c>
      <c r="B7042" s="15">
        <f>'BudgetSum 2-4'!C88</f>
        <v>0</v>
      </c>
      <c r="C7042" s="647">
        <f t="shared" si="87"/>
        <v>7037</v>
      </c>
      <c r="D7042" s="5" t="s">
        <v>776</v>
      </c>
    </row>
    <row r="7043" spans="1:4" x14ac:dyDescent="0.2">
      <c r="A7043">
        <v>7038</v>
      </c>
      <c r="B7043" s="15">
        <f>'BudgetSum 2-4'!C89</f>
        <v>2986420</v>
      </c>
      <c r="C7043" s="647">
        <f t="shared" si="87"/>
        <v>-2979382</v>
      </c>
      <c r="D7043" s="5" t="s">
        <v>776</v>
      </c>
    </row>
    <row r="7044" spans="1:4" x14ac:dyDescent="0.2">
      <c r="A7044">
        <v>7039</v>
      </c>
      <c r="B7044" s="15">
        <f>'BudgetSum 2-4'!J131</f>
        <v>0</v>
      </c>
      <c r="C7044" s="647">
        <f t="shared" ref="C7044:C7107" si="88">A7044-B7044</f>
        <v>7039</v>
      </c>
      <c r="D7044" s="5" t="s">
        <v>776</v>
      </c>
    </row>
    <row r="7045" spans="1:4" x14ac:dyDescent="0.2">
      <c r="A7045">
        <v>7040</v>
      </c>
      <c r="B7045" s="15">
        <f>'BudgetSum 2-4'!C91</f>
        <v>26375010</v>
      </c>
      <c r="C7045" s="647">
        <f t="shared" si="88"/>
        <v>-26367970</v>
      </c>
      <c r="D7045" s="5" t="s">
        <v>776</v>
      </c>
    </row>
    <row r="7046" spans="1:4" x14ac:dyDescent="0.2">
      <c r="A7046">
        <v>7041</v>
      </c>
      <c r="B7046" s="15">
        <f>'BudgetSum 2-4'!C93</f>
        <v>71749500</v>
      </c>
      <c r="C7046" s="647">
        <f t="shared" si="88"/>
        <v>-71742459</v>
      </c>
      <c r="D7046" s="5" t="s">
        <v>776</v>
      </c>
    </row>
    <row r="7047" spans="1:4" x14ac:dyDescent="0.2">
      <c r="A7047">
        <v>7042</v>
      </c>
      <c r="B7047" s="15">
        <f>'BudgetSum 2-4'!C94</f>
        <v>0</v>
      </c>
      <c r="C7047" s="647">
        <f t="shared" si="88"/>
        <v>7042</v>
      </c>
      <c r="D7047" s="5" t="s">
        <v>776</v>
      </c>
    </row>
    <row r="7048" spans="1:4" x14ac:dyDescent="0.2">
      <c r="A7048">
        <v>7043</v>
      </c>
      <c r="B7048" s="15">
        <f>'BudgetSum 2-4'!C95</f>
        <v>3714500</v>
      </c>
      <c r="C7048" s="647">
        <f t="shared" si="88"/>
        <v>-3707457</v>
      </c>
      <c r="D7048" s="5" t="s">
        <v>776</v>
      </c>
    </row>
    <row r="7049" spans="1:4" x14ac:dyDescent="0.2">
      <c r="A7049">
        <v>7044</v>
      </c>
      <c r="B7049" s="15">
        <f>'BudgetSum 2-4'!C96</f>
        <v>3780000</v>
      </c>
      <c r="C7049" s="647">
        <f t="shared" si="88"/>
        <v>-3772956</v>
      </c>
      <c r="D7049" s="5" t="s">
        <v>776</v>
      </c>
    </row>
    <row r="7050" spans="1:4" x14ac:dyDescent="0.2">
      <c r="A7050">
        <v>7045</v>
      </c>
      <c r="B7050" s="15">
        <f>'BudgetSum 2-4'!C97</f>
        <v>79244000</v>
      </c>
      <c r="C7050" s="647">
        <f t="shared" si="88"/>
        <v>-79236955</v>
      </c>
      <c r="D7050" s="5" t="s">
        <v>776</v>
      </c>
    </row>
    <row r="7051" spans="1:4" x14ac:dyDescent="0.2">
      <c r="A7051">
        <v>7046</v>
      </c>
      <c r="B7051" s="15">
        <f>'BudgetSum 2-4'!C98</f>
        <v>0</v>
      </c>
      <c r="C7051" s="647">
        <f t="shared" si="88"/>
        <v>7046</v>
      </c>
      <c r="D7051" s="5" t="s">
        <v>776</v>
      </c>
    </row>
    <row r="7052" spans="1:4" x14ac:dyDescent="0.2">
      <c r="A7052">
        <v>7047</v>
      </c>
      <c r="B7052" s="15">
        <f>'BudgetSum 2-4'!C99</f>
        <v>79244000</v>
      </c>
      <c r="C7052" s="647">
        <f t="shared" si="88"/>
        <v>-79236953</v>
      </c>
      <c r="D7052" s="5" t="s">
        <v>776</v>
      </c>
    </row>
    <row r="7053" spans="1:4" x14ac:dyDescent="0.2">
      <c r="A7053">
        <v>7048</v>
      </c>
      <c r="B7053" s="15">
        <f>'BudgetSum 2-4'!C101</f>
        <v>52205850</v>
      </c>
      <c r="C7053" s="647">
        <f t="shared" si="88"/>
        <v>-52198802</v>
      </c>
      <c r="D7053" s="5" t="s">
        <v>776</v>
      </c>
    </row>
    <row r="7054" spans="1:4" x14ac:dyDescent="0.2">
      <c r="A7054">
        <v>7049</v>
      </c>
      <c r="B7054" s="15">
        <f>'BudgetSum 2-4'!C102</f>
        <v>25836150</v>
      </c>
      <c r="C7054" s="647">
        <f t="shared" si="88"/>
        <v>-25829101</v>
      </c>
      <c r="D7054" s="5" t="s">
        <v>776</v>
      </c>
    </row>
    <row r="7055" spans="1:4" x14ac:dyDescent="0.2">
      <c r="A7055">
        <v>7050</v>
      </c>
      <c r="B7055" s="15">
        <f>'BudgetSum 2-4'!C103</f>
        <v>0</v>
      </c>
      <c r="C7055" s="647">
        <f t="shared" si="88"/>
        <v>7050</v>
      </c>
      <c r="D7055" s="5" t="s">
        <v>776</v>
      </c>
    </row>
    <row r="7056" spans="1:4" x14ac:dyDescent="0.2">
      <c r="A7056">
        <v>7051</v>
      </c>
      <c r="B7056" s="15">
        <f>'BudgetSum 2-4'!C104</f>
        <v>1202000</v>
      </c>
      <c r="C7056" s="647">
        <f t="shared" si="88"/>
        <v>-1194949</v>
      </c>
      <c r="D7056" s="5" t="s">
        <v>776</v>
      </c>
    </row>
    <row r="7057" spans="1:4" x14ac:dyDescent="0.2">
      <c r="A7057">
        <v>7052</v>
      </c>
      <c r="B7057" s="15">
        <f>'BudgetSum 2-4'!C105</f>
        <v>0</v>
      </c>
      <c r="C7057" s="647">
        <f t="shared" si="88"/>
        <v>7052</v>
      </c>
      <c r="D7057" s="5" t="s">
        <v>776</v>
      </c>
    </row>
    <row r="7058" spans="1:4" x14ac:dyDescent="0.2">
      <c r="A7058">
        <v>7053</v>
      </c>
      <c r="B7058" s="15">
        <f>'BudgetSum 2-4'!C106</f>
        <v>0</v>
      </c>
      <c r="C7058" s="647">
        <f t="shared" si="88"/>
        <v>7053</v>
      </c>
      <c r="D7058" s="5" t="s">
        <v>776</v>
      </c>
    </row>
    <row r="7059" spans="1:4" x14ac:dyDescent="0.2">
      <c r="A7059">
        <v>7054</v>
      </c>
      <c r="B7059" s="15">
        <f>'BudgetSum 2-4'!C107</f>
        <v>79244000</v>
      </c>
      <c r="C7059" s="647">
        <f t="shared" si="88"/>
        <v>-79236946</v>
      </c>
      <c r="D7059" s="5" t="s">
        <v>776</v>
      </c>
    </row>
    <row r="7060" spans="1:4" x14ac:dyDescent="0.2">
      <c r="A7060">
        <v>7055</v>
      </c>
      <c r="B7060" s="15">
        <f>'BudgetSum 2-4'!C108</f>
        <v>0</v>
      </c>
      <c r="C7060" s="647">
        <f t="shared" si="88"/>
        <v>7055</v>
      </c>
      <c r="D7060" s="5" t="s">
        <v>776</v>
      </c>
    </row>
    <row r="7061" spans="1:4" x14ac:dyDescent="0.2">
      <c r="A7061">
        <v>7056</v>
      </c>
      <c r="B7061" s="15">
        <f>'BudgetSum 2-4'!C109</f>
        <v>79244000</v>
      </c>
      <c r="C7061" s="647">
        <f t="shared" si="88"/>
        <v>-79236944</v>
      </c>
      <c r="D7061" s="5" t="s">
        <v>776</v>
      </c>
    </row>
    <row r="7062" spans="1:4" x14ac:dyDescent="0.2">
      <c r="A7062">
        <v>7057</v>
      </c>
      <c r="B7062" s="15">
        <f>'BudgetSum 2-4'!C110</f>
        <v>0</v>
      </c>
      <c r="C7062" s="647">
        <f t="shared" si="88"/>
        <v>7057</v>
      </c>
      <c r="D7062" s="5" t="s">
        <v>776</v>
      </c>
    </row>
    <row r="7063" spans="1:4" x14ac:dyDescent="0.2">
      <c r="A7063">
        <v>7058</v>
      </c>
      <c r="B7063" s="15">
        <f>'BudgetSum 2-4'!C113</f>
        <v>-1500000</v>
      </c>
      <c r="C7063" s="647">
        <f t="shared" si="88"/>
        <v>1507058</v>
      </c>
      <c r="D7063" s="5" t="s">
        <v>776</v>
      </c>
    </row>
    <row r="7064" spans="1:4" x14ac:dyDescent="0.2">
      <c r="A7064">
        <v>7059</v>
      </c>
      <c r="B7064" s="15">
        <f>'BudgetSum 2-4'!C116</f>
        <v>0</v>
      </c>
      <c r="C7064" s="647">
        <f t="shared" si="88"/>
        <v>7059</v>
      </c>
      <c r="D7064" s="5" t="s">
        <v>776</v>
      </c>
    </row>
    <row r="7065" spans="1:4" x14ac:dyDescent="0.2">
      <c r="A7065">
        <v>7060</v>
      </c>
      <c r="B7065" s="15">
        <f>'BudgetSum 2-4'!C117</f>
        <v>-1500000</v>
      </c>
      <c r="C7065" s="647">
        <f t="shared" si="88"/>
        <v>1507060</v>
      </c>
      <c r="D7065" s="5" t="s">
        <v>776</v>
      </c>
    </row>
    <row r="7066" spans="1:4" x14ac:dyDescent="0.2">
      <c r="A7066">
        <v>7061</v>
      </c>
      <c r="B7066" s="15">
        <f>'BudgetSum 2-4'!C118</f>
        <v>24875010</v>
      </c>
      <c r="C7066" s="647">
        <f t="shared" si="88"/>
        <v>-24867949</v>
      </c>
      <c r="D7066" s="5" t="s">
        <v>776</v>
      </c>
    </row>
    <row r="7067" spans="1:4" x14ac:dyDescent="0.2">
      <c r="A7067">
        <v>7062</v>
      </c>
      <c r="B7067" s="15">
        <f>'BudgetSum 2-4'!D91</f>
        <v>2879273</v>
      </c>
      <c r="C7067" s="647">
        <f t="shared" si="88"/>
        <v>-2872211</v>
      </c>
      <c r="D7067" s="5" t="s">
        <v>776</v>
      </c>
    </row>
    <row r="7068" spans="1:4" x14ac:dyDescent="0.2">
      <c r="A7068">
        <v>7063</v>
      </c>
      <c r="B7068" s="15">
        <f>'BudgetSum 2-4'!D93</f>
        <v>8220000</v>
      </c>
      <c r="C7068" s="647">
        <f t="shared" si="88"/>
        <v>-8212937</v>
      </c>
      <c r="D7068" s="5" t="s">
        <v>776</v>
      </c>
    </row>
    <row r="7069" spans="1:4" x14ac:dyDescent="0.2">
      <c r="A7069">
        <v>7064</v>
      </c>
      <c r="B7069" s="15">
        <f>'BudgetSum 2-4'!D94</f>
        <v>0</v>
      </c>
      <c r="C7069" s="647">
        <f t="shared" si="88"/>
        <v>7064</v>
      </c>
      <c r="D7069" s="5" t="s">
        <v>776</v>
      </c>
    </row>
    <row r="7070" spans="1:4" x14ac:dyDescent="0.2">
      <c r="A7070">
        <v>7065</v>
      </c>
      <c r="B7070" s="15">
        <f>'BudgetSum 2-4'!D95</f>
        <v>0</v>
      </c>
      <c r="C7070" s="647">
        <f t="shared" si="88"/>
        <v>7065</v>
      </c>
      <c r="D7070" s="5" t="s">
        <v>776</v>
      </c>
    </row>
    <row r="7071" spans="1:4" x14ac:dyDescent="0.2">
      <c r="A7071">
        <v>7066</v>
      </c>
      <c r="B7071" s="15">
        <f>'BudgetSum 2-4'!D96</f>
        <v>0</v>
      </c>
      <c r="C7071" s="647">
        <f t="shared" si="88"/>
        <v>7066</v>
      </c>
      <c r="D7071" s="5" t="s">
        <v>776</v>
      </c>
    </row>
    <row r="7072" spans="1:4" x14ac:dyDescent="0.2">
      <c r="A7072">
        <v>7067</v>
      </c>
      <c r="B7072" s="15">
        <f>'BudgetSum 2-4'!D97</f>
        <v>8220000</v>
      </c>
      <c r="C7072" s="647">
        <f t="shared" si="88"/>
        <v>-8212933</v>
      </c>
      <c r="D7072" s="5" t="s">
        <v>776</v>
      </c>
    </row>
    <row r="7073" spans="1:4" x14ac:dyDescent="0.2">
      <c r="A7073">
        <v>7068</v>
      </c>
      <c r="B7073" s="15">
        <f>'BudgetSum 2-4'!D98</f>
        <v>0</v>
      </c>
      <c r="C7073" s="647">
        <f t="shared" si="88"/>
        <v>7068</v>
      </c>
      <c r="D7073" s="5" t="s">
        <v>776</v>
      </c>
    </row>
    <row r="7074" spans="1:4" x14ac:dyDescent="0.2">
      <c r="A7074">
        <v>7069</v>
      </c>
      <c r="B7074" s="15">
        <f>'BudgetSum 2-4'!D99</f>
        <v>8220000</v>
      </c>
      <c r="C7074" s="647">
        <f t="shared" si="88"/>
        <v>-8212931</v>
      </c>
      <c r="D7074" s="5" t="s">
        <v>776</v>
      </c>
    </row>
    <row r="7075" spans="1:4" x14ac:dyDescent="0.2">
      <c r="A7075">
        <v>7070</v>
      </c>
      <c r="B7075" s="15">
        <f>'BudgetSum 2-4'!D102</f>
        <v>8170500</v>
      </c>
      <c r="C7075" s="647">
        <f t="shared" si="88"/>
        <v>-8163430</v>
      </c>
      <c r="D7075" s="5" t="s">
        <v>776</v>
      </c>
    </row>
    <row r="7076" spans="1:4" x14ac:dyDescent="0.2">
      <c r="A7076">
        <v>7071</v>
      </c>
      <c r="B7076" s="15">
        <f>'BudgetSum 2-4'!D103</f>
        <v>49500</v>
      </c>
      <c r="C7076" s="647">
        <f t="shared" si="88"/>
        <v>-42429</v>
      </c>
      <c r="D7076" s="5" t="s">
        <v>776</v>
      </c>
    </row>
    <row r="7077" spans="1:4" x14ac:dyDescent="0.2">
      <c r="A7077">
        <v>7072</v>
      </c>
      <c r="B7077" s="15">
        <f>'BudgetSum 2-4'!D104</f>
        <v>0</v>
      </c>
      <c r="C7077" s="647">
        <f t="shared" si="88"/>
        <v>7072</v>
      </c>
      <c r="D7077" s="5" t="s">
        <v>776</v>
      </c>
    </row>
    <row r="7078" spans="1:4" x14ac:dyDescent="0.2">
      <c r="A7078">
        <v>7073</v>
      </c>
      <c r="B7078" s="15">
        <f>'BudgetSum 2-4'!D105</f>
        <v>0</v>
      </c>
      <c r="C7078" s="647">
        <f t="shared" si="88"/>
        <v>7073</v>
      </c>
      <c r="D7078" s="5" t="s">
        <v>776</v>
      </c>
    </row>
    <row r="7079" spans="1:4" x14ac:dyDescent="0.2">
      <c r="A7079">
        <v>7074</v>
      </c>
      <c r="B7079" s="15">
        <f>'BudgetSum 2-4'!D106</f>
        <v>0</v>
      </c>
      <c r="C7079" s="647">
        <f t="shared" si="88"/>
        <v>7074</v>
      </c>
      <c r="D7079" s="5" t="s">
        <v>776</v>
      </c>
    </row>
    <row r="7080" spans="1:4" x14ac:dyDescent="0.2">
      <c r="A7080">
        <v>7075</v>
      </c>
      <c r="B7080" s="15">
        <f>'BudgetSum 2-4'!D107</f>
        <v>8220000</v>
      </c>
      <c r="C7080" s="647">
        <f t="shared" si="88"/>
        <v>-8212925</v>
      </c>
      <c r="D7080" s="5" t="s">
        <v>776</v>
      </c>
    </row>
    <row r="7081" spans="1:4" x14ac:dyDescent="0.2">
      <c r="A7081">
        <v>7076</v>
      </c>
      <c r="B7081" s="15">
        <f>'BudgetSum 2-4'!D108</f>
        <v>0</v>
      </c>
      <c r="C7081" s="647">
        <f t="shared" si="88"/>
        <v>7076</v>
      </c>
      <c r="D7081" s="5" t="s">
        <v>776</v>
      </c>
    </row>
    <row r="7082" spans="1:4" x14ac:dyDescent="0.2">
      <c r="A7082">
        <v>7077</v>
      </c>
      <c r="B7082" s="15">
        <f>'BudgetSum 2-4'!D109</f>
        <v>8220000</v>
      </c>
      <c r="C7082" s="647">
        <f t="shared" si="88"/>
        <v>-8212923</v>
      </c>
      <c r="D7082" s="5" t="s">
        <v>776</v>
      </c>
    </row>
    <row r="7083" spans="1:4" x14ac:dyDescent="0.2">
      <c r="A7083">
        <v>7078</v>
      </c>
      <c r="B7083" s="15">
        <f>'BudgetSum 2-4'!D110</f>
        <v>0</v>
      </c>
      <c r="C7083" s="647">
        <f t="shared" si="88"/>
        <v>7078</v>
      </c>
      <c r="D7083" s="5" t="s">
        <v>776</v>
      </c>
    </row>
    <row r="7084" spans="1:4" x14ac:dyDescent="0.2">
      <c r="A7084">
        <v>7079</v>
      </c>
      <c r="B7084" s="15">
        <f>'BudgetSum 2-4'!D113</f>
        <v>0</v>
      </c>
      <c r="C7084" s="647">
        <f t="shared" si="88"/>
        <v>7079</v>
      </c>
      <c r="D7084" s="5" t="s">
        <v>776</v>
      </c>
    </row>
    <row r="7085" spans="1:4" x14ac:dyDescent="0.2">
      <c r="A7085">
        <v>7080</v>
      </c>
      <c r="B7085" s="15">
        <f>'BudgetSum 2-4'!D116</f>
        <v>0</v>
      </c>
      <c r="C7085" s="647">
        <f t="shared" si="88"/>
        <v>7080</v>
      </c>
      <c r="D7085" s="5" t="s">
        <v>776</v>
      </c>
    </row>
    <row r="7086" spans="1:4" x14ac:dyDescent="0.2">
      <c r="A7086">
        <v>7081</v>
      </c>
      <c r="B7086" s="15">
        <f>'BudgetSum 2-4'!D117</f>
        <v>0</v>
      </c>
      <c r="C7086" s="647">
        <f t="shared" si="88"/>
        <v>7081</v>
      </c>
      <c r="D7086" s="5" t="s">
        <v>776</v>
      </c>
    </row>
    <row r="7087" spans="1:4" x14ac:dyDescent="0.2">
      <c r="A7087">
        <v>7082</v>
      </c>
      <c r="B7087" s="15">
        <f>'BudgetSum 2-4'!D118</f>
        <v>2879273</v>
      </c>
      <c r="C7087" s="647">
        <f t="shared" si="88"/>
        <v>-2872191</v>
      </c>
      <c r="D7087" s="5" t="s">
        <v>776</v>
      </c>
    </row>
    <row r="7088" spans="1:4" x14ac:dyDescent="0.2">
      <c r="A7088">
        <v>7083</v>
      </c>
      <c r="B7088" s="15">
        <f>'BudgetSum 2-4'!E91</f>
        <v>775333</v>
      </c>
      <c r="C7088" s="647">
        <f t="shared" si="88"/>
        <v>-768250</v>
      </c>
      <c r="D7088" s="5" t="s">
        <v>776</v>
      </c>
    </row>
    <row r="7089" spans="1:4" x14ac:dyDescent="0.2">
      <c r="A7089">
        <v>7084</v>
      </c>
      <c r="B7089" s="15">
        <f>'BudgetSum 2-4'!E93</f>
        <v>3619000</v>
      </c>
      <c r="C7089" s="647">
        <f t="shared" si="88"/>
        <v>-3611916</v>
      </c>
      <c r="D7089" s="5" t="s">
        <v>776</v>
      </c>
    </row>
    <row r="7090" spans="1:4" x14ac:dyDescent="0.2">
      <c r="A7090">
        <v>7085</v>
      </c>
      <c r="B7090" s="15">
        <f>'BudgetSum 2-4'!E95</f>
        <v>0</v>
      </c>
      <c r="C7090" s="647">
        <f t="shared" si="88"/>
        <v>7085</v>
      </c>
      <c r="D7090" s="5" t="s">
        <v>776</v>
      </c>
    </row>
    <row r="7091" spans="1:4" x14ac:dyDescent="0.2">
      <c r="A7091">
        <v>7086</v>
      </c>
      <c r="B7091" s="15">
        <f>'BudgetSum 2-4'!E96</f>
        <v>0</v>
      </c>
      <c r="C7091" s="647">
        <f t="shared" si="88"/>
        <v>7086</v>
      </c>
      <c r="D7091" s="5" t="s">
        <v>776</v>
      </c>
    </row>
    <row r="7092" spans="1:4" x14ac:dyDescent="0.2">
      <c r="A7092">
        <v>7087</v>
      </c>
      <c r="B7092" s="15">
        <f>'BudgetSum 2-4'!E97</f>
        <v>3619000</v>
      </c>
      <c r="C7092" s="647">
        <f t="shared" si="88"/>
        <v>-3611913</v>
      </c>
      <c r="D7092" s="5" t="s">
        <v>776</v>
      </c>
    </row>
    <row r="7093" spans="1:4" x14ac:dyDescent="0.2">
      <c r="A7093">
        <v>7088</v>
      </c>
      <c r="B7093" s="15">
        <f>'BudgetSum 2-4'!E98</f>
        <v>0</v>
      </c>
      <c r="C7093" s="647">
        <f t="shared" si="88"/>
        <v>7088</v>
      </c>
      <c r="D7093" s="5" t="s">
        <v>776</v>
      </c>
    </row>
    <row r="7094" spans="1:4" x14ac:dyDescent="0.2">
      <c r="A7094">
        <v>7089</v>
      </c>
      <c r="B7094" s="15">
        <f>'BudgetSum 2-4'!E99</f>
        <v>3619000</v>
      </c>
      <c r="C7094" s="647">
        <f t="shared" si="88"/>
        <v>-3611911</v>
      </c>
      <c r="D7094" s="5" t="s">
        <v>776</v>
      </c>
    </row>
    <row r="7095" spans="1:4" x14ac:dyDescent="0.2">
      <c r="A7095">
        <v>7090</v>
      </c>
      <c r="B7095" s="15">
        <f>'BudgetSum 2-4'!E104</f>
        <v>0</v>
      </c>
      <c r="C7095" s="647">
        <f t="shared" si="88"/>
        <v>7090</v>
      </c>
      <c r="D7095" s="5" t="s">
        <v>776</v>
      </c>
    </row>
    <row r="7096" spans="1:4" x14ac:dyDescent="0.2">
      <c r="A7096">
        <v>7091</v>
      </c>
      <c r="B7096" s="15">
        <f>'BudgetSum 2-4'!E105</f>
        <v>3619000</v>
      </c>
      <c r="C7096" s="647">
        <f t="shared" si="88"/>
        <v>-3611909</v>
      </c>
      <c r="D7096" s="5" t="s">
        <v>776</v>
      </c>
    </row>
    <row r="7097" spans="1:4" x14ac:dyDescent="0.2">
      <c r="A7097">
        <v>7092</v>
      </c>
      <c r="B7097" s="15">
        <f>'BudgetSum 2-4'!E106</f>
        <v>0</v>
      </c>
      <c r="C7097" s="647">
        <f t="shared" si="88"/>
        <v>7092</v>
      </c>
      <c r="D7097" s="5" t="s">
        <v>776</v>
      </c>
    </row>
    <row r="7098" spans="1:4" x14ac:dyDescent="0.2">
      <c r="A7098">
        <v>7093</v>
      </c>
      <c r="B7098" s="15">
        <f>'BudgetSum 2-4'!E107</f>
        <v>3619000</v>
      </c>
      <c r="C7098" s="647">
        <f t="shared" si="88"/>
        <v>-3611907</v>
      </c>
      <c r="D7098" s="5" t="s">
        <v>776</v>
      </c>
    </row>
    <row r="7099" spans="1:4" x14ac:dyDescent="0.2">
      <c r="A7099">
        <v>7094</v>
      </c>
      <c r="B7099" s="15">
        <f>'BudgetSum 2-4'!E108</f>
        <v>0</v>
      </c>
      <c r="C7099" s="647">
        <f t="shared" si="88"/>
        <v>7094</v>
      </c>
      <c r="D7099" s="5" t="s">
        <v>776</v>
      </c>
    </row>
    <row r="7100" spans="1:4" x14ac:dyDescent="0.2">
      <c r="A7100">
        <v>7095</v>
      </c>
      <c r="B7100" s="15">
        <f>'BudgetSum 2-4'!E109</f>
        <v>3619000</v>
      </c>
      <c r="C7100" s="647">
        <f t="shared" si="88"/>
        <v>-3611905</v>
      </c>
      <c r="D7100" s="5" t="s">
        <v>776</v>
      </c>
    </row>
    <row r="7101" spans="1:4" x14ac:dyDescent="0.2">
      <c r="A7101">
        <v>7096</v>
      </c>
      <c r="B7101" s="15">
        <f>'BudgetSum 2-4'!E110</f>
        <v>0</v>
      </c>
      <c r="C7101" s="647">
        <f t="shared" si="88"/>
        <v>7096</v>
      </c>
      <c r="D7101" s="5" t="s">
        <v>776</v>
      </c>
    </row>
    <row r="7102" spans="1:4" x14ac:dyDescent="0.2">
      <c r="A7102">
        <v>7097</v>
      </c>
      <c r="B7102" s="15">
        <f>'BudgetSum 2-4'!E113</f>
        <v>600000</v>
      </c>
      <c r="C7102" s="647">
        <f t="shared" si="88"/>
        <v>-592903</v>
      </c>
      <c r="D7102" s="5" t="s">
        <v>776</v>
      </c>
    </row>
    <row r="7103" spans="1:4" x14ac:dyDescent="0.2">
      <c r="A7103">
        <v>7098</v>
      </c>
      <c r="B7103" s="15">
        <f>'BudgetSum 2-4'!E116</f>
        <v>0</v>
      </c>
      <c r="C7103" s="647">
        <f t="shared" si="88"/>
        <v>7098</v>
      </c>
      <c r="D7103" s="5" t="s">
        <v>776</v>
      </c>
    </row>
    <row r="7104" spans="1:4" x14ac:dyDescent="0.2">
      <c r="A7104">
        <v>7099</v>
      </c>
      <c r="B7104" s="15">
        <f>'BudgetSum 2-4'!E117</f>
        <v>600000</v>
      </c>
      <c r="C7104" s="647">
        <f t="shared" si="88"/>
        <v>-592901</v>
      </c>
      <c r="D7104" s="5" t="s">
        <v>776</v>
      </c>
    </row>
    <row r="7105" spans="1:4" x14ac:dyDescent="0.2">
      <c r="A7105">
        <v>7100</v>
      </c>
      <c r="B7105" s="15">
        <f>'BudgetSum 2-4'!E118</f>
        <v>1375333</v>
      </c>
      <c r="C7105" s="647">
        <f t="shared" si="88"/>
        <v>-1368233</v>
      </c>
      <c r="D7105" s="5" t="s">
        <v>776</v>
      </c>
    </row>
    <row r="7106" spans="1:4" x14ac:dyDescent="0.2">
      <c r="A7106">
        <v>7101</v>
      </c>
      <c r="B7106" s="15">
        <f>'BudgetSum 2-4'!F91</f>
        <v>2579010</v>
      </c>
      <c r="C7106" s="647">
        <f t="shared" si="88"/>
        <v>-2571909</v>
      </c>
      <c r="D7106" s="5" t="s">
        <v>776</v>
      </c>
    </row>
    <row r="7107" spans="1:4" x14ac:dyDescent="0.2">
      <c r="A7107">
        <v>7102</v>
      </c>
      <c r="B7107" s="15">
        <f>'BudgetSum 2-4'!F93</f>
        <v>842000</v>
      </c>
      <c r="C7107" s="647">
        <f t="shared" si="88"/>
        <v>-834898</v>
      </c>
      <c r="D7107" s="5" t="s">
        <v>776</v>
      </c>
    </row>
    <row r="7108" spans="1:4" x14ac:dyDescent="0.2">
      <c r="A7108">
        <v>7103</v>
      </c>
      <c r="B7108" s="15">
        <f>'BudgetSum 2-4'!F94</f>
        <v>0</v>
      </c>
      <c r="C7108" s="647">
        <f t="shared" ref="C7108:C7171" si="89">A7108-B7108</f>
        <v>7103</v>
      </c>
      <c r="D7108" s="5" t="s">
        <v>776</v>
      </c>
    </row>
    <row r="7109" spans="1:4" x14ac:dyDescent="0.2">
      <c r="A7109">
        <v>7104</v>
      </c>
      <c r="B7109" s="15">
        <f>'BudgetSum 2-4'!F95</f>
        <v>408000</v>
      </c>
      <c r="C7109" s="647">
        <f t="shared" si="89"/>
        <v>-400896</v>
      </c>
      <c r="D7109" s="5" t="s">
        <v>776</v>
      </c>
    </row>
    <row r="7110" spans="1:4" x14ac:dyDescent="0.2">
      <c r="A7110">
        <v>7105</v>
      </c>
      <c r="B7110" s="15">
        <f>'BudgetSum 2-4'!F96</f>
        <v>0</v>
      </c>
      <c r="C7110" s="647">
        <f t="shared" si="89"/>
        <v>7105</v>
      </c>
      <c r="D7110" s="5" t="s">
        <v>776</v>
      </c>
    </row>
    <row r="7111" spans="1:4" x14ac:dyDescent="0.2">
      <c r="A7111">
        <v>7106</v>
      </c>
      <c r="B7111" s="15">
        <f>'BudgetSum 2-4'!F97</f>
        <v>1250000</v>
      </c>
      <c r="C7111" s="647">
        <f t="shared" si="89"/>
        <v>-1242894</v>
      </c>
      <c r="D7111" s="5" t="s">
        <v>776</v>
      </c>
    </row>
    <row r="7112" spans="1:4" x14ac:dyDescent="0.2">
      <c r="A7112">
        <v>7107</v>
      </c>
      <c r="B7112" s="15">
        <f>'BudgetSum 2-4'!F98</f>
        <v>0</v>
      </c>
      <c r="C7112" s="647">
        <f t="shared" si="89"/>
        <v>7107</v>
      </c>
      <c r="D7112" s="5" t="s">
        <v>776</v>
      </c>
    </row>
    <row r="7113" spans="1:4" x14ac:dyDescent="0.2">
      <c r="A7113">
        <v>7108</v>
      </c>
      <c r="B7113" s="15">
        <f>'BudgetSum 2-4'!F99</f>
        <v>1250000</v>
      </c>
      <c r="C7113" s="647">
        <f t="shared" si="89"/>
        <v>-1242892</v>
      </c>
      <c r="D7113" s="5" t="s">
        <v>776</v>
      </c>
    </row>
    <row r="7114" spans="1:4" x14ac:dyDescent="0.2">
      <c r="A7114">
        <v>7109</v>
      </c>
      <c r="B7114" s="15">
        <f>'BudgetSum 2-4'!F102</f>
        <v>1250000</v>
      </c>
      <c r="C7114" s="647">
        <f t="shared" si="89"/>
        <v>-1242891</v>
      </c>
      <c r="D7114" s="5" t="s">
        <v>776</v>
      </c>
    </row>
    <row r="7115" spans="1:4" x14ac:dyDescent="0.2">
      <c r="A7115">
        <v>7110</v>
      </c>
      <c r="B7115" s="15">
        <f>'BudgetSum 2-4'!F103</f>
        <v>0</v>
      </c>
      <c r="C7115" s="647">
        <f t="shared" si="89"/>
        <v>7110</v>
      </c>
      <c r="D7115" s="5" t="s">
        <v>776</v>
      </c>
    </row>
    <row r="7116" spans="1:4" x14ac:dyDescent="0.2">
      <c r="A7116">
        <v>7111</v>
      </c>
      <c r="B7116" s="15">
        <f>'BudgetSum 2-4'!F104</f>
        <v>0</v>
      </c>
      <c r="C7116" s="647">
        <f t="shared" si="89"/>
        <v>7111</v>
      </c>
      <c r="D7116" s="5" t="s">
        <v>776</v>
      </c>
    </row>
    <row r="7117" spans="1:4" x14ac:dyDescent="0.2">
      <c r="A7117">
        <v>7112</v>
      </c>
      <c r="B7117" s="15">
        <f>'BudgetSum 2-4'!F105</f>
        <v>0</v>
      </c>
      <c r="C7117" s="647">
        <f t="shared" si="89"/>
        <v>7112</v>
      </c>
      <c r="D7117" s="5" t="s">
        <v>776</v>
      </c>
    </row>
    <row r="7118" spans="1:4" x14ac:dyDescent="0.2">
      <c r="A7118">
        <v>7113</v>
      </c>
      <c r="B7118" s="15">
        <f>'BudgetSum 2-4'!F106</f>
        <v>0</v>
      </c>
      <c r="C7118" s="647">
        <f t="shared" si="89"/>
        <v>7113</v>
      </c>
      <c r="D7118" s="5" t="s">
        <v>776</v>
      </c>
    </row>
    <row r="7119" spans="1:4" x14ac:dyDescent="0.2">
      <c r="A7119">
        <v>7114</v>
      </c>
      <c r="B7119" s="15">
        <f>'BudgetSum 2-4'!F107</f>
        <v>1250000</v>
      </c>
      <c r="C7119" s="647">
        <f t="shared" si="89"/>
        <v>-1242886</v>
      </c>
      <c r="D7119" s="5" t="s">
        <v>776</v>
      </c>
    </row>
    <row r="7120" spans="1:4" x14ac:dyDescent="0.2">
      <c r="A7120">
        <v>7115</v>
      </c>
      <c r="B7120" s="15">
        <f>'BudgetSum 2-4'!F108</f>
        <v>0</v>
      </c>
      <c r="C7120" s="647">
        <f t="shared" si="89"/>
        <v>7115</v>
      </c>
      <c r="D7120" s="5" t="s">
        <v>776</v>
      </c>
    </row>
    <row r="7121" spans="1:4" x14ac:dyDescent="0.2">
      <c r="A7121">
        <v>7116</v>
      </c>
      <c r="B7121" s="15">
        <f>'BudgetSum 2-4'!F109</f>
        <v>1250000</v>
      </c>
      <c r="C7121" s="647">
        <f t="shared" si="89"/>
        <v>-1242884</v>
      </c>
      <c r="D7121" s="5" t="s">
        <v>776</v>
      </c>
    </row>
    <row r="7122" spans="1:4" x14ac:dyDescent="0.2">
      <c r="A7122">
        <v>7117</v>
      </c>
      <c r="B7122" s="15">
        <f>'BudgetSum 2-4'!F110</f>
        <v>0</v>
      </c>
      <c r="C7122" s="647">
        <f t="shared" si="89"/>
        <v>7117</v>
      </c>
      <c r="D7122" s="5" t="s">
        <v>776</v>
      </c>
    </row>
    <row r="7123" spans="1:4" x14ac:dyDescent="0.2">
      <c r="A7123">
        <v>7118</v>
      </c>
      <c r="B7123" s="15">
        <f>'BudgetSum 2-4'!F113</f>
        <v>0</v>
      </c>
      <c r="C7123" s="647">
        <f t="shared" si="89"/>
        <v>7118</v>
      </c>
      <c r="D7123" s="5" t="s">
        <v>776</v>
      </c>
    </row>
    <row r="7124" spans="1:4" x14ac:dyDescent="0.2">
      <c r="A7124">
        <v>7119</v>
      </c>
      <c r="B7124" s="15">
        <f>'BudgetSum 2-4'!F116</f>
        <v>0</v>
      </c>
      <c r="C7124" s="647">
        <f t="shared" si="89"/>
        <v>7119</v>
      </c>
      <c r="D7124" s="5" t="s">
        <v>776</v>
      </c>
    </row>
    <row r="7125" spans="1:4" x14ac:dyDescent="0.2">
      <c r="A7125">
        <v>7120</v>
      </c>
      <c r="B7125" s="15">
        <f>'BudgetSum 2-4'!F117</f>
        <v>0</v>
      </c>
      <c r="C7125" s="647">
        <f t="shared" si="89"/>
        <v>7120</v>
      </c>
      <c r="D7125" s="5" t="s">
        <v>776</v>
      </c>
    </row>
    <row r="7126" spans="1:4" x14ac:dyDescent="0.2">
      <c r="A7126">
        <v>7121</v>
      </c>
      <c r="B7126" s="15">
        <f>'BudgetSum 2-4'!F118</f>
        <v>2579010</v>
      </c>
      <c r="C7126" s="647">
        <f t="shared" si="89"/>
        <v>-2571889</v>
      </c>
      <c r="D7126" s="5" t="s">
        <v>776</v>
      </c>
    </row>
    <row r="7127" spans="1:4" x14ac:dyDescent="0.2">
      <c r="A7127">
        <v>7122</v>
      </c>
      <c r="B7127" s="15">
        <f>'BudgetSum 2-4'!G91</f>
        <v>457822</v>
      </c>
      <c r="C7127" s="647">
        <f t="shared" si="89"/>
        <v>-450700</v>
      </c>
      <c r="D7127" s="5" t="s">
        <v>776</v>
      </c>
    </row>
    <row r="7128" spans="1:4" x14ac:dyDescent="0.2">
      <c r="A7128">
        <v>7123</v>
      </c>
      <c r="B7128" s="15">
        <f>'BudgetSum 2-4'!G93</f>
        <v>3400000</v>
      </c>
      <c r="C7128" s="647">
        <f t="shared" si="89"/>
        <v>-3392877</v>
      </c>
      <c r="D7128" s="5" t="s">
        <v>776</v>
      </c>
    </row>
    <row r="7129" spans="1:4" x14ac:dyDescent="0.2">
      <c r="A7129">
        <v>7124</v>
      </c>
      <c r="B7129" s="15">
        <f>'BudgetSum 2-4'!G94</f>
        <v>0</v>
      </c>
      <c r="C7129" s="647">
        <f t="shared" si="89"/>
        <v>7124</v>
      </c>
      <c r="D7129" s="5" t="s">
        <v>776</v>
      </c>
    </row>
    <row r="7130" spans="1:4" x14ac:dyDescent="0.2">
      <c r="A7130">
        <v>7125</v>
      </c>
      <c r="B7130" s="15">
        <f>'BudgetSum 2-4'!G95</f>
        <v>0</v>
      </c>
      <c r="C7130" s="647">
        <f t="shared" si="89"/>
        <v>7125</v>
      </c>
      <c r="D7130" s="5" t="s">
        <v>776</v>
      </c>
    </row>
    <row r="7131" spans="1:4" x14ac:dyDescent="0.2">
      <c r="A7131">
        <v>7126</v>
      </c>
      <c r="B7131" s="15">
        <f>'BudgetSum 2-4'!G96</f>
        <v>0</v>
      </c>
      <c r="C7131" s="647">
        <f t="shared" si="89"/>
        <v>7126</v>
      </c>
      <c r="D7131" s="5" t="s">
        <v>776</v>
      </c>
    </row>
    <row r="7132" spans="1:4" x14ac:dyDescent="0.2">
      <c r="A7132">
        <v>7127</v>
      </c>
      <c r="B7132" s="15">
        <f>'BudgetSum 2-4'!G97</f>
        <v>3400000</v>
      </c>
      <c r="C7132" s="647">
        <f t="shared" si="89"/>
        <v>-3392873</v>
      </c>
      <c r="D7132" s="5" t="s">
        <v>776</v>
      </c>
    </row>
    <row r="7133" spans="1:4" x14ac:dyDescent="0.2">
      <c r="A7133">
        <v>7128</v>
      </c>
      <c r="B7133" s="15">
        <f>'BudgetSum 2-4'!G98</f>
        <v>0</v>
      </c>
      <c r="C7133" s="647">
        <f t="shared" si="89"/>
        <v>7128</v>
      </c>
      <c r="D7133" s="5" t="s">
        <v>776</v>
      </c>
    </row>
    <row r="7134" spans="1:4" x14ac:dyDescent="0.2">
      <c r="A7134">
        <v>7129</v>
      </c>
      <c r="B7134" s="15">
        <f>'BudgetSum 2-4'!G99</f>
        <v>3400000</v>
      </c>
      <c r="C7134" s="647">
        <f t="shared" si="89"/>
        <v>-3392871</v>
      </c>
      <c r="D7134" s="5" t="s">
        <v>776</v>
      </c>
    </row>
    <row r="7135" spans="1:4" x14ac:dyDescent="0.2">
      <c r="A7135">
        <v>7130</v>
      </c>
      <c r="B7135" s="15">
        <f>'BudgetSum 2-4'!G101</f>
        <v>3400000</v>
      </c>
      <c r="C7135" s="647">
        <f t="shared" si="89"/>
        <v>-3392870</v>
      </c>
      <c r="D7135" s="5" t="s">
        <v>776</v>
      </c>
    </row>
    <row r="7136" spans="1:4" x14ac:dyDescent="0.2">
      <c r="A7136">
        <v>7131</v>
      </c>
      <c r="B7136" s="15">
        <f>'BudgetSum 2-4'!G102</f>
        <v>0</v>
      </c>
      <c r="C7136" s="647">
        <f t="shared" si="89"/>
        <v>7131</v>
      </c>
      <c r="D7136" s="5" t="s">
        <v>776</v>
      </c>
    </row>
    <row r="7137" spans="1:4" x14ac:dyDescent="0.2">
      <c r="A7137">
        <v>7132</v>
      </c>
      <c r="B7137" s="15">
        <f>'BudgetSum 2-4'!G103</f>
        <v>0</v>
      </c>
      <c r="C7137" s="647">
        <f t="shared" si="89"/>
        <v>7132</v>
      </c>
      <c r="D7137" s="5" t="s">
        <v>776</v>
      </c>
    </row>
    <row r="7138" spans="1:4" x14ac:dyDescent="0.2">
      <c r="A7138">
        <v>7133</v>
      </c>
      <c r="B7138" s="15">
        <f>'BudgetSum 2-4'!G104</f>
        <v>0</v>
      </c>
      <c r="C7138" s="647">
        <f t="shared" si="89"/>
        <v>7133</v>
      </c>
      <c r="D7138" s="5" t="s">
        <v>776</v>
      </c>
    </row>
    <row r="7139" spans="1:4" x14ac:dyDescent="0.2">
      <c r="A7139">
        <v>7134</v>
      </c>
      <c r="B7139" s="15">
        <f>'BudgetSum 2-4'!G105</f>
        <v>0</v>
      </c>
      <c r="C7139" s="647">
        <f t="shared" si="89"/>
        <v>7134</v>
      </c>
      <c r="D7139" s="5" t="s">
        <v>776</v>
      </c>
    </row>
    <row r="7140" spans="1:4" x14ac:dyDescent="0.2">
      <c r="A7140">
        <v>7135</v>
      </c>
      <c r="B7140" s="15">
        <f>'BudgetSum 2-4'!G106</f>
        <v>0</v>
      </c>
      <c r="C7140" s="647">
        <f t="shared" si="89"/>
        <v>7135</v>
      </c>
      <c r="D7140" s="5" t="s">
        <v>776</v>
      </c>
    </row>
    <row r="7141" spans="1:4" x14ac:dyDescent="0.2">
      <c r="A7141">
        <v>7136</v>
      </c>
      <c r="B7141" s="15">
        <f>'BudgetSum 2-4'!G107</f>
        <v>3400000</v>
      </c>
      <c r="C7141" s="647">
        <f t="shared" si="89"/>
        <v>-3392864</v>
      </c>
      <c r="D7141" s="5" t="s">
        <v>776</v>
      </c>
    </row>
    <row r="7142" spans="1:4" x14ac:dyDescent="0.2">
      <c r="A7142">
        <v>7137</v>
      </c>
      <c r="B7142" s="15">
        <f>'BudgetSum 2-4'!G108</f>
        <v>0</v>
      </c>
      <c r="C7142" s="647">
        <f t="shared" si="89"/>
        <v>7137</v>
      </c>
      <c r="D7142" s="5" t="s">
        <v>776</v>
      </c>
    </row>
    <row r="7143" spans="1:4" x14ac:dyDescent="0.2">
      <c r="A7143">
        <v>7138</v>
      </c>
      <c r="B7143" s="15">
        <f>'BudgetSum 2-4'!G109</f>
        <v>3400000</v>
      </c>
      <c r="C7143" s="647">
        <f t="shared" si="89"/>
        <v>-3392862</v>
      </c>
      <c r="D7143" s="5" t="s">
        <v>776</v>
      </c>
    </row>
    <row r="7144" spans="1:4" x14ac:dyDescent="0.2">
      <c r="A7144">
        <v>7139</v>
      </c>
      <c r="B7144" s="15">
        <f>'BudgetSum 2-4'!G110</f>
        <v>0</v>
      </c>
      <c r="C7144" s="647">
        <f t="shared" si="89"/>
        <v>7139</v>
      </c>
      <c r="D7144" s="5" t="s">
        <v>776</v>
      </c>
    </row>
    <row r="7145" spans="1:4" x14ac:dyDescent="0.2">
      <c r="A7145">
        <v>7140</v>
      </c>
      <c r="B7145" s="15">
        <f>'BudgetSum 2-4'!G113</f>
        <v>0</v>
      </c>
      <c r="C7145" s="647">
        <f t="shared" si="89"/>
        <v>7140</v>
      </c>
      <c r="D7145" s="5" t="s">
        <v>776</v>
      </c>
    </row>
    <row r="7146" spans="1:4" x14ac:dyDescent="0.2">
      <c r="A7146">
        <v>7141</v>
      </c>
      <c r="B7146" s="15">
        <f>'BudgetSum 2-4'!G116</f>
        <v>0</v>
      </c>
      <c r="C7146" s="647">
        <f t="shared" si="89"/>
        <v>7141</v>
      </c>
      <c r="D7146" s="5" t="s">
        <v>776</v>
      </c>
    </row>
    <row r="7147" spans="1:4" x14ac:dyDescent="0.2">
      <c r="A7147">
        <v>7142</v>
      </c>
      <c r="B7147" s="15">
        <f>'BudgetSum 2-4'!G117</f>
        <v>0</v>
      </c>
      <c r="C7147" s="647">
        <f t="shared" si="89"/>
        <v>7142</v>
      </c>
      <c r="D7147" s="5" t="s">
        <v>776</v>
      </c>
    </row>
    <row r="7148" spans="1:4" x14ac:dyDescent="0.2">
      <c r="A7148">
        <v>7143</v>
      </c>
      <c r="B7148" s="15">
        <f>'BudgetSum 2-4'!G118</f>
        <v>457822</v>
      </c>
      <c r="C7148" s="647">
        <f t="shared" si="89"/>
        <v>-450679</v>
      </c>
      <c r="D7148" s="5" t="s">
        <v>776</v>
      </c>
    </row>
    <row r="7149" spans="1:4" x14ac:dyDescent="0.2">
      <c r="A7149">
        <v>7144</v>
      </c>
      <c r="B7149" s="15">
        <f>'BudgetSum 2-4'!H91</f>
        <v>2394667</v>
      </c>
      <c r="C7149" s="647">
        <f t="shared" si="89"/>
        <v>-2387523</v>
      </c>
      <c r="D7149" s="5" t="s">
        <v>776</v>
      </c>
    </row>
    <row r="7150" spans="1:4" x14ac:dyDescent="0.2">
      <c r="A7150">
        <v>7145</v>
      </c>
      <c r="B7150" s="15">
        <f>'BudgetSum 2-4'!H93</f>
        <v>1400000</v>
      </c>
      <c r="C7150" s="647">
        <f t="shared" si="89"/>
        <v>-1392855</v>
      </c>
      <c r="D7150" s="5" t="s">
        <v>776</v>
      </c>
    </row>
    <row r="7151" spans="1:4" x14ac:dyDescent="0.2">
      <c r="A7151">
        <v>7146</v>
      </c>
      <c r="B7151" s="15">
        <f>'BudgetSum 2-4'!H95</f>
        <v>0</v>
      </c>
      <c r="C7151" s="647">
        <f t="shared" si="89"/>
        <v>7146</v>
      </c>
      <c r="D7151" s="5" t="s">
        <v>776</v>
      </c>
    </row>
    <row r="7152" spans="1:4" x14ac:dyDescent="0.2">
      <c r="A7152">
        <v>7147</v>
      </c>
      <c r="B7152" s="15">
        <f>'BudgetSum 2-4'!H96</f>
        <v>1380000</v>
      </c>
      <c r="C7152" s="647">
        <f t="shared" si="89"/>
        <v>-1372853</v>
      </c>
      <c r="D7152" s="5" t="s">
        <v>776</v>
      </c>
    </row>
    <row r="7153" spans="1:4" x14ac:dyDescent="0.2">
      <c r="A7153">
        <v>7148</v>
      </c>
      <c r="B7153" s="15">
        <f>'BudgetSum 2-4'!H97</f>
        <v>2780000</v>
      </c>
      <c r="C7153" s="647">
        <f t="shared" si="89"/>
        <v>-2772852</v>
      </c>
      <c r="D7153" s="5" t="s">
        <v>776</v>
      </c>
    </row>
    <row r="7154" spans="1:4" x14ac:dyDescent="0.2">
      <c r="A7154">
        <v>7149</v>
      </c>
      <c r="B7154" s="15">
        <f>'BudgetSum 2-4'!H98</f>
        <v>0</v>
      </c>
      <c r="C7154" s="647">
        <f t="shared" si="89"/>
        <v>7149</v>
      </c>
      <c r="D7154" s="5" t="s">
        <v>776</v>
      </c>
    </row>
    <row r="7155" spans="1:4" x14ac:dyDescent="0.2">
      <c r="A7155">
        <v>7150</v>
      </c>
      <c r="B7155" s="15">
        <f>'BudgetSum 2-4'!H99</f>
        <v>2780000</v>
      </c>
      <c r="C7155" s="647">
        <f t="shared" si="89"/>
        <v>-2772850</v>
      </c>
      <c r="D7155" s="5" t="s">
        <v>776</v>
      </c>
    </row>
    <row r="7156" spans="1:4" x14ac:dyDescent="0.2">
      <c r="A7156">
        <v>7151</v>
      </c>
      <c r="B7156" s="15">
        <f>'BudgetSum 2-4'!H102</f>
        <v>3880000</v>
      </c>
      <c r="C7156" s="647">
        <f t="shared" si="89"/>
        <v>-3872849</v>
      </c>
      <c r="D7156" s="5" t="s">
        <v>776</v>
      </c>
    </row>
    <row r="7157" spans="1:4" x14ac:dyDescent="0.2">
      <c r="A7157">
        <v>7152</v>
      </c>
      <c r="B7157" s="15">
        <f>'BudgetSum 2-4'!H104</f>
        <v>0</v>
      </c>
      <c r="C7157" s="647">
        <f t="shared" si="89"/>
        <v>7152</v>
      </c>
      <c r="D7157" s="5" t="s">
        <v>776</v>
      </c>
    </row>
    <row r="7158" spans="1:4" x14ac:dyDescent="0.2">
      <c r="A7158">
        <v>7153</v>
      </c>
      <c r="B7158" s="15">
        <f>'BudgetSum 2-4'!H106</f>
        <v>0</v>
      </c>
      <c r="C7158" s="647">
        <f t="shared" si="89"/>
        <v>7153</v>
      </c>
      <c r="D7158" s="5" t="s">
        <v>776</v>
      </c>
    </row>
    <row r="7159" spans="1:4" x14ac:dyDescent="0.2">
      <c r="A7159">
        <v>7154</v>
      </c>
      <c r="B7159" s="15">
        <f>'BudgetSum 2-4'!H107</f>
        <v>3880000</v>
      </c>
      <c r="C7159" s="647">
        <f t="shared" si="89"/>
        <v>-3872846</v>
      </c>
      <c r="D7159" s="5" t="s">
        <v>776</v>
      </c>
    </row>
    <row r="7160" spans="1:4" x14ac:dyDescent="0.2">
      <c r="A7160">
        <v>7155</v>
      </c>
      <c r="B7160" s="15">
        <f>'BudgetSum 2-4'!H108</f>
        <v>0</v>
      </c>
      <c r="C7160" s="647">
        <f t="shared" si="89"/>
        <v>7155</v>
      </c>
      <c r="D7160" s="5" t="s">
        <v>776</v>
      </c>
    </row>
    <row r="7161" spans="1:4" x14ac:dyDescent="0.2">
      <c r="A7161">
        <v>7156</v>
      </c>
      <c r="B7161" s="15">
        <f>'BudgetSum 2-4'!H109</f>
        <v>3880000</v>
      </c>
      <c r="C7161" s="647">
        <f t="shared" si="89"/>
        <v>-3872844</v>
      </c>
      <c r="D7161" s="5" t="s">
        <v>776</v>
      </c>
    </row>
    <row r="7162" spans="1:4" x14ac:dyDescent="0.2">
      <c r="A7162">
        <v>7157</v>
      </c>
      <c r="B7162" s="15">
        <f>'BudgetSum 2-4'!H110</f>
        <v>-1100000</v>
      </c>
      <c r="C7162" s="647">
        <f t="shared" si="89"/>
        <v>1107157</v>
      </c>
      <c r="D7162" s="5" t="s">
        <v>776</v>
      </c>
    </row>
    <row r="7163" spans="1:4" x14ac:dyDescent="0.2">
      <c r="A7163">
        <v>7158</v>
      </c>
      <c r="B7163" s="15">
        <f>'BudgetSum 2-4'!H113</f>
        <v>900000</v>
      </c>
      <c r="C7163" s="647">
        <f t="shared" si="89"/>
        <v>-892842</v>
      </c>
      <c r="D7163" s="5" t="s">
        <v>776</v>
      </c>
    </row>
    <row r="7164" spans="1:4" x14ac:dyDescent="0.2">
      <c r="A7164">
        <v>7159</v>
      </c>
      <c r="B7164" s="15">
        <f>'BudgetSum 2-4'!H116</f>
        <v>0</v>
      </c>
      <c r="C7164" s="647">
        <f t="shared" si="89"/>
        <v>7159</v>
      </c>
      <c r="D7164" s="5" t="s">
        <v>776</v>
      </c>
    </row>
    <row r="7165" spans="1:4" x14ac:dyDescent="0.2">
      <c r="A7165">
        <v>7160</v>
      </c>
      <c r="B7165" s="15">
        <f>'BudgetSum 2-4'!H117</f>
        <v>900000</v>
      </c>
      <c r="C7165" s="647">
        <f t="shared" si="89"/>
        <v>-892840</v>
      </c>
      <c r="D7165" s="5" t="s">
        <v>776</v>
      </c>
    </row>
    <row r="7166" spans="1:4" x14ac:dyDescent="0.2">
      <c r="A7166">
        <v>7161</v>
      </c>
      <c r="B7166" s="15">
        <f>'BudgetSum 2-4'!H118</f>
        <v>2194667</v>
      </c>
      <c r="C7166" s="647">
        <f t="shared" si="89"/>
        <v>-2187506</v>
      </c>
      <c r="D7166" s="5" t="s">
        <v>776</v>
      </c>
    </row>
    <row r="7167" spans="1:4" x14ac:dyDescent="0.2">
      <c r="A7167">
        <v>7162</v>
      </c>
      <c r="B7167" s="15">
        <f>'BudgetSum 2-4'!I91</f>
        <v>4147137</v>
      </c>
      <c r="C7167" s="647">
        <f t="shared" si="89"/>
        <v>-4139975</v>
      </c>
      <c r="D7167" s="5" t="s">
        <v>776</v>
      </c>
    </row>
    <row r="7168" spans="1:4" x14ac:dyDescent="0.2">
      <c r="A7168">
        <v>7163</v>
      </c>
      <c r="B7168" s="15">
        <f>'BudgetSum 2-4'!I93</f>
        <v>0</v>
      </c>
      <c r="C7168" s="647">
        <f t="shared" si="89"/>
        <v>7163</v>
      </c>
      <c r="D7168" s="5" t="s">
        <v>776</v>
      </c>
    </row>
    <row r="7169" spans="1:4" x14ac:dyDescent="0.2">
      <c r="A7169">
        <v>7164</v>
      </c>
      <c r="B7169" s="15">
        <f>'BudgetSum 2-4'!I95</f>
        <v>0</v>
      </c>
      <c r="C7169" s="647">
        <f t="shared" si="89"/>
        <v>7164</v>
      </c>
      <c r="D7169" s="5" t="s">
        <v>776</v>
      </c>
    </row>
    <row r="7170" spans="1:4" x14ac:dyDescent="0.2">
      <c r="A7170">
        <v>7165</v>
      </c>
      <c r="B7170" s="15">
        <f>'BudgetSum 2-4'!I96</f>
        <v>0</v>
      </c>
      <c r="C7170" s="647">
        <f t="shared" si="89"/>
        <v>7165</v>
      </c>
      <c r="D7170" s="5" t="s">
        <v>776</v>
      </c>
    </row>
    <row r="7171" spans="1:4" x14ac:dyDescent="0.2">
      <c r="A7171">
        <v>7166</v>
      </c>
      <c r="B7171" s="15">
        <f>'BudgetSum 2-4'!I97</f>
        <v>0</v>
      </c>
      <c r="C7171" s="647">
        <f t="shared" si="89"/>
        <v>7166</v>
      </c>
      <c r="D7171" s="5" t="s">
        <v>776</v>
      </c>
    </row>
    <row r="7172" spans="1:4" x14ac:dyDescent="0.2">
      <c r="A7172">
        <v>7167</v>
      </c>
      <c r="B7172" s="15">
        <f>'BudgetSum 2-4'!I99</f>
        <v>0</v>
      </c>
      <c r="C7172" s="647">
        <f t="shared" ref="C7172:C7235" si="90">A7172-B7172</f>
        <v>7167</v>
      </c>
      <c r="D7172" s="5" t="s">
        <v>776</v>
      </c>
    </row>
    <row r="7173" spans="1:4" x14ac:dyDescent="0.2">
      <c r="A7173">
        <v>7168</v>
      </c>
      <c r="B7173" s="15">
        <f>'BudgetSum 2-4'!I110</f>
        <v>0</v>
      </c>
      <c r="C7173" s="647">
        <f t="shared" si="90"/>
        <v>7168</v>
      </c>
      <c r="D7173" s="5" t="s">
        <v>776</v>
      </c>
    </row>
    <row r="7174" spans="1:4" x14ac:dyDescent="0.2">
      <c r="A7174">
        <v>7169</v>
      </c>
      <c r="B7174" s="15">
        <f>'BudgetSum 2-4'!I113</f>
        <v>0</v>
      </c>
      <c r="C7174" s="647">
        <f t="shared" si="90"/>
        <v>7169</v>
      </c>
      <c r="D7174" s="5" t="s">
        <v>776</v>
      </c>
    </row>
    <row r="7175" spans="1:4" x14ac:dyDescent="0.2">
      <c r="A7175">
        <v>7170</v>
      </c>
      <c r="B7175" s="15">
        <f>'BudgetSum 2-4'!I116</f>
        <v>0</v>
      </c>
      <c r="C7175" s="647">
        <f t="shared" si="90"/>
        <v>7170</v>
      </c>
      <c r="D7175" s="5" t="s">
        <v>776</v>
      </c>
    </row>
    <row r="7176" spans="1:4" x14ac:dyDescent="0.2">
      <c r="A7176">
        <v>7171</v>
      </c>
      <c r="B7176" s="15">
        <f>'BudgetSum 2-4'!I117</f>
        <v>0</v>
      </c>
      <c r="C7176" s="647">
        <f t="shared" si="90"/>
        <v>7171</v>
      </c>
      <c r="D7176" s="5" t="s">
        <v>776</v>
      </c>
    </row>
    <row r="7177" spans="1:4" x14ac:dyDescent="0.2">
      <c r="A7177">
        <v>7172</v>
      </c>
      <c r="B7177" s="15">
        <f>'BudgetSum 2-4'!I118</f>
        <v>4147137</v>
      </c>
      <c r="C7177" s="647">
        <f t="shared" si="90"/>
        <v>-4139965</v>
      </c>
      <c r="D7177" s="5" t="s">
        <v>776</v>
      </c>
    </row>
    <row r="7178" spans="1:4" x14ac:dyDescent="0.2">
      <c r="A7178">
        <v>7173</v>
      </c>
      <c r="B7178" s="15">
        <f>'BudgetSum 2-4'!J91</f>
        <v>840</v>
      </c>
      <c r="C7178" s="647">
        <f t="shared" si="90"/>
        <v>6333</v>
      </c>
      <c r="D7178" s="5" t="s">
        <v>776</v>
      </c>
    </row>
    <row r="7179" spans="1:4" x14ac:dyDescent="0.2">
      <c r="A7179">
        <v>7174</v>
      </c>
      <c r="B7179" s="15">
        <f>'BudgetSum 2-4'!J93</f>
        <v>360000</v>
      </c>
      <c r="C7179" s="647">
        <f t="shared" si="90"/>
        <v>-352826</v>
      </c>
      <c r="D7179" s="5" t="s">
        <v>776</v>
      </c>
    </row>
    <row r="7180" spans="1:4" x14ac:dyDescent="0.2">
      <c r="A7180">
        <v>7175</v>
      </c>
      <c r="B7180" s="15">
        <f>'BudgetSum 2-4'!J95</f>
        <v>0</v>
      </c>
      <c r="C7180" s="647">
        <f t="shared" si="90"/>
        <v>7175</v>
      </c>
      <c r="D7180" s="5" t="s">
        <v>776</v>
      </c>
    </row>
    <row r="7181" spans="1:4" x14ac:dyDescent="0.2">
      <c r="A7181">
        <v>7176</v>
      </c>
      <c r="B7181" s="15">
        <f>'BudgetSum 2-4'!J96</f>
        <v>0</v>
      </c>
      <c r="C7181" s="647">
        <f t="shared" si="90"/>
        <v>7176</v>
      </c>
      <c r="D7181" s="5" t="s">
        <v>776</v>
      </c>
    </row>
    <row r="7182" spans="1:4" x14ac:dyDescent="0.2">
      <c r="A7182">
        <v>7177</v>
      </c>
      <c r="B7182" s="15">
        <f>'BudgetSum 2-4'!J97</f>
        <v>360000</v>
      </c>
      <c r="C7182" s="647">
        <f t="shared" si="90"/>
        <v>-352823</v>
      </c>
      <c r="D7182" s="5" t="s">
        <v>776</v>
      </c>
    </row>
    <row r="7183" spans="1:4" x14ac:dyDescent="0.2">
      <c r="A7183">
        <v>7178</v>
      </c>
      <c r="B7183" s="15">
        <f>'BudgetSum 2-4'!J98</f>
        <v>0</v>
      </c>
      <c r="C7183" s="647">
        <f t="shared" si="90"/>
        <v>7178</v>
      </c>
      <c r="D7183" s="5" t="s">
        <v>776</v>
      </c>
    </row>
    <row r="7184" spans="1:4" x14ac:dyDescent="0.2">
      <c r="A7184">
        <v>7179</v>
      </c>
      <c r="B7184" s="15">
        <f>'BudgetSum 2-4'!J99</f>
        <v>360000</v>
      </c>
      <c r="C7184" s="647">
        <f t="shared" si="90"/>
        <v>-352821</v>
      </c>
      <c r="D7184" s="5" t="s">
        <v>776</v>
      </c>
    </row>
    <row r="7185" spans="1:4" x14ac:dyDescent="0.2">
      <c r="A7185">
        <v>7180</v>
      </c>
      <c r="B7185" s="15">
        <f>'BudgetSum 2-4'!J101</f>
        <v>0</v>
      </c>
      <c r="C7185" s="647">
        <f t="shared" si="90"/>
        <v>7180</v>
      </c>
      <c r="D7185" s="5" t="s">
        <v>776</v>
      </c>
    </row>
    <row r="7186" spans="1:4" x14ac:dyDescent="0.2">
      <c r="A7186">
        <v>7181</v>
      </c>
      <c r="B7186" s="15">
        <f>'BudgetSum 2-4'!J102</f>
        <v>360000</v>
      </c>
      <c r="C7186" s="647">
        <f t="shared" si="90"/>
        <v>-352819</v>
      </c>
      <c r="D7186" s="5" t="s">
        <v>776</v>
      </c>
    </row>
    <row r="7187" spans="1:4" x14ac:dyDescent="0.2">
      <c r="A7187">
        <v>7182</v>
      </c>
      <c r="B7187" s="15">
        <f>'BudgetSum 2-4'!J103</f>
        <v>0</v>
      </c>
      <c r="C7187" s="647">
        <f t="shared" si="90"/>
        <v>7182</v>
      </c>
      <c r="D7187" s="5" t="s">
        <v>776</v>
      </c>
    </row>
    <row r="7188" spans="1:4" x14ac:dyDescent="0.2">
      <c r="A7188">
        <v>7183</v>
      </c>
      <c r="B7188" s="15">
        <f>'BudgetSum 2-4'!J104</f>
        <v>0</v>
      </c>
      <c r="C7188" s="647">
        <f t="shared" si="90"/>
        <v>7183</v>
      </c>
      <c r="D7188" s="5" t="s">
        <v>776</v>
      </c>
    </row>
    <row r="7189" spans="1:4" x14ac:dyDescent="0.2">
      <c r="A7189">
        <v>7184</v>
      </c>
      <c r="B7189" s="15">
        <f>'BudgetSum 2-4'!J107</f>
        <v>360000</v>
      </c>
      <c r="C7189" s="647">
        <f t="shared" si="90"/>
        <v>-352816</v>
      </c>
      <c r="D7189" s="5" t="s">
        <v>776</v>
      </c>
    </row>
    <row r="7190" spans="1:4" x14ac:dyDescent="0.2">
      <c r="A7190">
        <v>7185</v>
      </c>
      <c r="B7190" s="15">
        <f>'BudgetSum 2-4'!J108</f>
        <v>0</v>
      </c>
      <c r="C7190" s="647">
        <f t="shared" si="90"/>
        <v>7185</v>
      </c>
      <c r="D7190" s="5" t="s">
        <v>776</v>
      </c>
    </row>
    <row r="7191" spans="1:4" x14ac:dyDescent="0.2">
      <c r="A7191">
        <v>7186</v>
      </c>
      <c r="B7191" s="15">
        <f>'BudgetSum 2-4'!J109</f>
        <v>360000</v>
      </c>
      <c r="C7191" s="647">
        <f t="shared" si="90"/>
        <v>-352814</v>
      </c>
      <c r="D7191" s="5" t="s">
        <v>776</v>
      </c>
    </row>
    <row r="7192" spans="1:4" x14ac:dyDescent="0.2">
      <c r="A7192">
        <v>7187</v>
      </c>
      <c r="B7192" s="15">
        <f>'BudgetSum 2-4'!J110</f>
        <v>0</v>
      </c>
      <c r="C7192" s="647">
        <f t="shared" si="90"/>
        <v>7187</v>
      </c>
      <c r="D7192" s="5" t="s">
        <v>776</v>
      </c>
    </row>
    <row r="7193" spans="1:4" x14ac:dyDescent="0.2">
      <c r="A7193">
        <v>7188</v>
      </c>
      <c r="B7193" s="15">
        <f>'BudgetSum 2-4'!J113</f>
        <v>0</v>
      </c>
      <c r="C7193" s="647">
        <f t="shared" si="90"/>
        <v>7188</v>
      </c>
      <c r="D7193" s="5" t="s">
        <v>776</v>
      </c>
    </row>
    <row r="7194" spans="1:4" x14ac:dyDescent="0.2">
      <c r="A7194">
        <v>7189</v>
      </c>
      <c r="B7194" s="15">
        <f>'BudgetSum 2-4'!J116</f>
        <v>0</v>
      </c>
      <c r="C7194" s="647">
        <f t="shared" si="90"/>
        <v>7189</v>
      </c>
      <c r="D7194" s="5" t="s">
        <v>776</v>
      </c>
    </row>
    <row r="7195" spans="1:4" x14ac:dyDescent="0.2">
      <c r="A7195">
        <v>7190</v>
      </c>
      <c r="B7195" s="15">
        <f>'BudgetSum 2-4'!J117</f>
        <v>0</v>
      </c>
      <c r="C7195" s="647">
        <f t="shared" si="90"/>
        <v>7190</v>
      </c>
      <c r="D7195" s="5" t="s">
        <v>776</v>
      </c>
    </row>
    <row r="7196" spans="1:4" x14ac:dyDescent="0.2">
      <c r="A7196">
        <v>7191</v>
      </c>
      <c r="B7196" s="15">
        <f>'BudgetSum 2-4'!J118</f>
        <v>840</v>
      </c>
      <c r="C7196" s="647">
        <f t="shared" si="90"/>
        <v>6351</v>
      </c>
      <c r="D7196" s="5" t="s">
        <v>776</v>
      </c>
    </row>
    <row r="7197" spans="1:4" x14ac:dyDescent="0.2">
      <c r="A7197">
        <v>7192</v>
      </c>
      <c r="B7197" s="15">
        <f>'BudgetSum 2-4'!K91</f>
        <v>0</v>
      </c>
      <c r="C7197" s="647">
        <f t="shared" si="90"/>
        <v>7192</v>
      </c>
      <c r="D7197" s="5" t="s">
        <v>776</v>
      </c>
    </row>
    <row r="7198" spans="1:4" x14ac:dyDescent="0.2">
      <c r="A7198">
        <v>7193</v>
      </c>
      <c r="B7198" s="15">
        <f>'BudgetSum 2-4'!K93</f>
        <v>0</v>
      </c>
      <c r="C7198" s="647">
        <f t="shared" si="90"/>
        <v>7193</v>
      </c>
      <c r="D7198" s="5" t="s">
        <v>776</v>
      </c>
    </row>
    <row r="7199" spans="1:4" x14ac:dyDescent="0.2">
      <c r="A7199">
        <v>7194</v>
      </c>
      <c r="B7199" s="15">
        <f>'BudgetSum 2-4'!K95</f>
        <v>0</v>
      </c>
      <c r="C7199" s="647">
        <f t="shared" si="90"/>
        <v>7194</v>
      </c>
      <c r="D7199" s="5" t="s">
        <v>776</v>
      </c>
    </row>
    <row r="7200" spans="1:4" x14ac:dyDescent="0.2">
      <c r="A7200">
        <v>7195</v>
      </c>
      <c r="B7200" s="15">
        <f>'BudgetSum 2-4'!K96</f>
        <v>0</v>
      </c>
      <c r="C7200" s="647">
        <f t="shared" si="90"/>
        <v>7195</v>
      </c>
      <c r="D7200" s="5" t="s">
        <v>776</v>
      </c>
    </row>
    <row r="7201" spans="1:4" x14ac:dyDescent="0.2">
      <c r="A7201">
        <v>7196</v>
      </c>
      <c r="B7201" s="15">
        <f>'BudgetSum 2-4'!K97</f>
        <v>0</v>
      </c>
      <c r="C7201" s="647">
        <f t="shared" si="90"/>
        <v>7196</v>
      </c>
      <c r="D7201" s="5" t="s">
        <v>776</v>
      </c>
    </row>
    <row r="7202" spans="1:4" x14ac:dyDescent="0.2">
      <c r="A7202">
        <v>7197</v>
      </c>
      <c r="B7202" s="15">
        <f>'BudgetSum 2-4'!K98</f>
        <v>0</v>
      </c>
      <c r="C7202" s="647">
        <f t="shared" si="90"/>
        <v>7197</v>
      </c>
      <c r="D7202" s="5" t="s">
        <v>776</v>
      </c>
    </row>
    <row r="7203" spans="1:4" x14ac:dyDescent="0.2">
      <c r="A7203">
        <v>7198</v>
      </c>
      <c r="B7203" s="15">
        <f>'BudgetSum 2-4'!K99</f>
        <v>0</v>
      </c>
      <c r="C7203" s="647">
        <f t="shared" si="90"/>
        <v>7198</v>
      </c>
      <c r="D7203" s="5" t="s">
        <v>776</v>
      </c>
    </row>
    <row r="7204" spans="1:4" x14ac:dyDescent="0.2">
      <c r="A7204">
        <v>7199</v>
      </c>
      <c r="B7204" s="15">
        <f>'BudgetSum 2-4'!K102</f>
        <v>0</v>
      </c>
      <c r="C7204" s="647">
        <f t="shared" si="90"/>
        <v>7199</v>
      </c>
      <c r="D7204" s="5" t="s">
        <v>776</v>
      </c>
    </row>
    <row r="7205" spans="1:4" x14ac:dyDescent="0.2">
      <c r="A7205">
        <v>7200</v>
      </c>
      <c r="B7205" s="15">
        <f>'BudgetSum 2-4'!K104</f>
        <v>0</v>
      </c>
      <c r="C7205" s="647">
        <f t="shared" si="90"/>
        <v>7200</v>
      </c>
      <c r="D7205" s="5" t="s">
        <v>776</v>
      </c>
    </row>
    <row r="7206" spans="1:4" x14ac:dyDescent="0.2">
      <c r="A7206">
        <v>7201</v>
      </c>
      <c r="B7206" s="15">
        <f>'BudgetSum 2-4'!K105</f>
        <v>0</v>
      </c>
      <c r="C7206" s="647">
        <f t="shared" si="90"/>
        <v>7201</v>
      </c>
      <c r="D7206" s="5" t="s">
        <v>776</v>
      </c>
    </row>
    <row r="7207" spans="1:4" x14ac:dyDescent="0.2">
      <c r="A7207">
        <v>7202</v>
      </c>
      <c r="B7207" s="15">
        <f>'BudgetSum 2-4'!K106</f>
        <v>0</v>
      </c>
      <c r="C7207" s="647">
        <f t="shared" si="90"/>
        <v>7202</v>
      </c>
      <c r="D7207" s="5" t="s">
        <v>776</v>
      </c>
    </row>
    <row r="7208" spans="1:4" x14ac:dyDescent="0.2">
      <c r="A7208">
        <v>7203</v>
      </c>
      <c r="B7208" s="15">
        <f>'BudgetSum 2-4'!K107</f>
        <v>0</v>
      </c>
      <c r="C7208" s="647">
        <f t="shared" si="90"/>
        <v>7203</v>
      </c>
      <c r="D7208" s="5" t="s">
        <v>776</v>
      </c>
    </row>
    <row r="7209" spans="1:4" x14ac:dyDescent="0.2">
      <c r="A7209">
        <v>7204</v>
      </c>
      <c r="B7209" s="15">
        <f>'BudgetSum 2-4'!K108</f>
        <v>0</v>
      </c>
      <c r="C7209" s="647">
        <f t="shared" si="90"/>
        <v>7204</v>
      </c>
      <c r="D7209" s="5" t="s">
        <v>776</v>
      </c>
    </row>
    <row r="7210" spans="1:4" x14ac:dyDescent="0.2">
      <c r="A7210">
        <v>7205</v>
      </c>
      <c r="B7210" s="15">
        <f>'BudgetSum 2-4'!K109</f>
        <v>0</v>
      </c>
      <c r="C7210" s="647">
        <f t="shared" si="90"/>
        <v>7205</v>
      </c>
      <c r="D7210" s="5" t="s">
        <v>776</v>
      </c>
    </row>
    <row r="7211" spans="1:4" x14ac:dyDescent="0.2">
      <c r="A7211">
        <v>7206</v>
      </c>
      <c r="B7211" s="15">
        <f>'BudgetSum 2-4'!K110</f>
        <v>0</v>
      </c>
      <c r="C7211" s="647">
        <f t="shared" si="90"/>
        <v>7206</v>
      </c>
      <c r="D7211" s="5" t="s">
        <v>776</v>
      </c>
    </row>
    <row r="7212" spans="1:4" x14ac:dyDescent="0.2">
      <c r="A7212">
        <v>7207</v>
      </c>
      <c r="B7212" s="15">
        <f>'BudgetSum 2-4'!K113</f>
        <v>0</v>
      </c>
      <c r="C7212" s="647">
        <f t="shared" si="90"/>
        <v>7207</v>
      </c>
      <c r="D7212" s="5" t="s">
        <v>776</v>
      </c>
    </row>
    <row r="7213" spans="1:4" x14ac:dyDescent="0.2">
      <c r="A7213">
        <v>7208</v>
      </c>
      <c r="B7213" s="15">
        <f>'BudgetSum 2-4'!K116</f>
        <v>0</v>
      </c>
      <c r="C7213" s="647">
        <f t="shared" si="90"/>
        <v>7208</v>
      </c>
      <c r="D7213" s="5" t="s">
        <v>776</v>
      </c>
    </row>
    <row r="7214" spans="1:4" x14ac:dyDescent="0.2">
      <c r="A7214">
        <v>7209</v>
      </c>
      <c r="B7214" s="15">
        <f>'BudgetSum 2-4'!K117</f>
        <v>0</v>
      </c>
      <c r="C7214" s="647">
        <f t="shared" si="90"/>
        <v>7209</v>
      </c>
      <c r="D7214" s="5" t="s">
        <v>776</v>
      </c>
    </row>
    <row r="7215" spans="1:4" x14ac:dyDescent="0.2">
      <c r="A7215">
        <v>7210</v>
      </c>
      <c r="B7215" s="15">
        <f>'BudgetSum 2-4'!K118</f>
        <v>0</v>
      </c>
      <c r="C7215" s="647">
        <f t="shared" si="90"/>
        <v>7210</v>
      </c>
      <c r="D7215" s="5" t="s">
        <v>776</v>
      </c>
    </row>
    <row r="7216" spans="1:4" x14ac:dyDescent="0.2">
      <c r="A7216">
        <v>7211</v>
      </c>
      <c r="B7216" s="15">
        <f>'CashSum 5'!C23</f>
        <v>2985530</v>
      </c>
      <c r="C7216" s="647">
        <f t="shared" si="90"/>
        <v>-2978319</v>
      </c>
      <c r="D7216" s="5" t="s">
        <v>778</v>
      </c>
    </row>
    <row r="7217" spans="1:4" x14ac:dyDescent="0.2">
      <c r="A7217">
        <v>7212</v>
      </c>
      <c r="B7217" s="15">
        <f>'CashSum 5'!C24</f>
        <v>0</v>
      </c>
      <c r="C7217" s="647">
        <f t="shared" si="90"/>
        <v>7212</v>
      </c>
      <c r="D7217" s="5" t="s">
        <v>778</v>
      </c>
    </row>
    <row r="7218" spans="1:4" x14ac:dyDescent="0.2">
      <c r="A7218" s="4">
        <v>7213</v>
      </c>
      <c r="B7218" s="15">
        <f>'CashSum 5'!C25</f>
        <v>2985530</v>
      </c>
      <c r="C7218" s="647">
        <f t="shared" si="90"/>
        <v>-2978317</v>
      </c>
      <c r="D7218" s="5" t="s">
        <v>778</v>
      </c>
    </row>
    <row r="7219" spans="1:4" x14ac:dyDescent="0.2">
      <c r="A7219" s="4">
        <v>7214</v>
      </c>
      <c r="B7219" s="15">
        <f>'CashSum 5'!C26</f>
        <v>0</v>
      </c>
      <c r="C7219" s="647">
        <f t="shared" si="90"/>
        <v>7214</v>
      </c>
      <c r="D7219" s="5" t="s">
        <v>778</v>
      </c>
    </row>
    <row r="7220" spans="1:4" x14ac:dyDescent="0.2">
      <c r="A7220" s="4">
        <v>7215</v>
      </c>
      <c r="B7220" s="15">
        <f>'CashSum 5'!C27</f>
        <v>2985530</v>
      </c>
      <c r="C7220" s="647">
        <f t="shared" si="90"/>
        <v>-2978315</v>
      </c>
      <c r="D7220" s="5" t="s">
        <v>778</v>
      </c>
    </row>
    <row r="7221" spans="1:4" x14ac:dyDescent="0.2">
      <c r="A7221" s="4">
        <v>7216</v>
      </c>
      <c r="B7221" s="15">
        <f>'CashSum 5'!C29</f>
        <v>35923824</v>
      </c>
      <c r="C7221" s="647">
        <f t="shared" si="90"/>
        <v>-35916608</v>
      </c>
      <c r="D7221" s="5" t="s">
        <v>778</v>
      </c>
    </row>
    <row r="7222" spans="1:4" x14ac:dyDescent="0.2">
      <c r="A7222" s="4">
        <v>7217</v>
      </c>
      <c r="B7222" s="15">
        <f>'CashSum 5'!C30</f>
        <v>77744000</v>
      </c>
      <c r="C7222" s="647">
        <f t="shared" si="90"/>
        <v>-77736783</v>
      </c>
      <c r="D7222" s="5" t="s">
        <v>778</v>
      </c>
    </row>
    <row r="7223" spans="1:4" x14ac:dyDescent="0.2">
      <c r="A7223" s="4">
        <v>7218</v>
      </c>
      <c r="B7223" s="15">
        <f>'CashSum 5'!C31</f>
        <v>0</v>
      </c>
      <c r="C7223" s="647">
        <f t="shared" si="90"/>
        <v>7218</v>
      </c>
      <c r="D7223" s="5" t="s">
        <v>778</v>
      </c>
    </row>
    <row r="7224" spans="1:4" x14ac:dyDescent="0.2">
      <c r="A7224" s="4">
        <v>7219</v>
      </c>
      <c r="B7224" s="15">
        <f>'CashSum 5'!C32</f>
        <v>77744000</v>
      </c>
      <c r="C7224" s="647">
        <f t="shared" si="90"/>
        <v>-77736781</v>
      </c>
      <c r="D7224" s="5" t="s">
        <v>778</v>
      </c>
    </row>
    <row r="7225" spans="1:4" x14ac:dyDescent="0.2">
      <c r="A7225" s="4">
        <v>7220</v>
      </c>
      <c r="B7225" s="15">
        <f>'CashSum 5'!C33</f>
        <v>113667824</v>
      </c>
      <c r="C7225" s="647">
        <f t="shared" si="90"/>
        <v>-113660604</v>
      </c>
      <c r="D7225" s="5" t="s">
        <v>778</v>
      </c>
    </row>
    <row r="7226" spans="1:4" x14ac:dyDescent="0.2">
      <c r="A7226" s="4">
        <v>7221</v>
      </c>
      <c r="B7226" s="15">
        <f>'CashSum 5'!C34</f>
        <v>79244000</v>
      </c>
      <c r="C7226" s="647">
        <f t="shared" si="90"/>
        <v>-79236779</v>
      </c>
      <c r="D7226" s="5" t="s">
        <v>778</v>
      </c>
    </row>
    <row r="7227" spans="1:4" x14ac:dyDescent="0.2">
      <c r="A7227" s="4">
        <v>7222</v>
      </c>
      <c r="B7227" s="15">
        <f>'CashSum 5'!C35</f>
        <v>0</v>
      </c>
      <c r="C7227" s="647">
        <f t="shared" si="90"/>
        <v>7222</v>
      </c>
      <c r="D7227" s="5" t="s">
        <v>778</v>
      </c>
    </row>
    <row r="7228" spans="1:4" x14ac:dyDescent="0.2">
      <c r="A7228" s="4">
        <v>7223</v>
      </c>
      <c r="B7228" s="15">
        <f>'CashSum 5'!C36</f>
        <v>79244000</v>
      </c>
      <c r="C7228" s="647">
        <f t="shared" si="90"/>
        <v>-79236777</v>
      </c>
      <c r="D7228" s="5" t="s">
        <v>778</v>
      </c>
    </row>
    <row r="7229" spans="1:4" x14ac:dyDescent="0.2">
      <c r="A7229" s="4">
        <v>7224</v>
      </c>
      <c r="B7229" s="15">
        <f>'CashSum 5'!C37</f>
        <v>34423824</v>
      </c>
      <c r="C7229" s="647">
        <f t="shared" si="90"/>
        <v>-34416600</v>
      </c>
      <c r="D7229" s="5" t="s">
        <v>778</v>
      </c>
    </row>
    <row r="7230" spans="1:4" x14ac:dyDescent="0.2">
      <c r="A7230" s="4">
        <v>7225</v>
      </c>
      <c r="B7230" s="15">
        <f>'CashSum 5'!D29</f>
        <v>3359903</v>
      </c>
      <c r="C7230" s="647">
        <f t="shared" si="90"/>
        <v>-3352678</v>
      </c>
      <c r="D7230" s="5" t="s">
        <v>778</v>
      </c>
    </row>
    <row r="7231" spans="1:4" x14ac:dyDescent="0.2">
      <c r="A7231" s="4">
        <v>7226</v>
      </c>
      <c r="B7231" s="15">
        <f>'CashSum 5'!D30</f>
        <v>8220000</v>
      </c>
      <c r="C7231" s="647">
        <f t="shared" si="90"/>
        <v>-8212774</v>
      </c>
      <c r="D7231" s="5" t="s">
        <v>778</v>
      </c>
    </row>
    <row r="7232" spans="1:4" x14ac:dyDescent="0.2">
      <c r="A7232" s="4">
        <v>7227</v>
      </c>
      <c r="B7232" s="15">
        <f>'CashSum 5'!D31</f>
        <v>0</v>
      </c>
      <c r="C7232" s="647">
        <f t="shared" si="90"/>
        <v>7227</v>
      </c>
      <c r="D7232" s="5" t="s">
        <v>778</v>
      </c>
    </row>
    <row r="7233" spans="1:4" x14ac:dyDescent="0.2">
      <c r="A7233">
        <v>7228</v>
      </c>
      <c r="B7233" s="15">
        <f>'CashSum 5'!D32</f>
        <v>8220000</v>
      </c>
      <c r="C7233" s="647">
        <f t="shared" si="90"/>
        <v>-8212772</v>
      </c>
      <c r="D7233" s="5" t="s">
        <v>778</v>
      </c>
    </row>
    <row r="7234" spans="1:4" x14ac:dyDescent="0.2">
      <c r="A7234">
        <v>7229</v>
      </c>
      <c r="B7234" s="15">
        <f>'CashSum 5'!D33</f>
        <v>11579903</v>
      </c>
      <c r="C7234" s="647">
        <f t="shared" si="90"/>
        <v>-11572674</v>
      </c>
      <c r="D7234" s="5" t="s">
        <v>778</v>
      </c>
    </row>
    <row r="7235" spans="1:4" x14ac:dyDescent="0.2">
      <c r="A7235">
        <v>7230</v>
      </c>
      <c r="B7235" s="15">
        <f>'CashSum 5'!D34</f>
        <v>8220000</v>
      </c>
      <c r="C7235" s="647">
        <f t="shared" si="90"/>
        <v>-8212770</v>
      </c>
      <c r="D7235" s="5" t="s">
        <v>778</v>
      </c>
    </row>
    <row r="7236" spans="1:4" x14ac:dyDescent="0.2">
      <c r="A7236">
        <v>7231</v>
      </c>
      <c r="B7236" s="15">
        <f>'CashSum 5'!D35</f>
        <v>0</v>
      </c>
      <c r="C7236" s="647">
        <f t="shared" ref="C7236:C7299" si="91">A7236-B7236</f>
        <v>7231</v>
      </c>
      <c r="D7236" s="5" t="s">
        <v>778</v>
      </c>
    </row>
    <row r="7237" spans="1:4" x14ac:dyDescent="0.2">
      <c r="A7237">
        <v>7232</v>
      </c>
      <c r="B7237" s="15">
        <f>'CashSum 5'!D36</f>
        <v>8220000</v>
      </c>
      <c r="C7237" s="647">
        <f t="shared" si="91"/>
        <v>-8212768</v>
      </c>
      <c r="D7237" s="5" t="s">
        <v>778</v>
      </c>
    </row>
    <row r="7238" spans="1:4" x14ac:dyDescent="0.2">
      <c r="A7238">
        <v>7233</v>
      </c>
      <c r="B7238" s="15">
        <f>'CashSum 5'!D37</f>
        <v>3359903</v>
      </c>
      <c r="C7238" s="647">
        <f t="shared" si="91"/>
        <v>-3352670</v>
      </c>
      <c r="D7238" s="5" t="s">
        <v>778</v>
      </c>
    </row>
    <row r="7239" spans="1:4" x14ac:dyDescent="0.2">
      <c r="A7239">
        <v>7234</v>
      </c>
      <c r="B7239" s="15">
        <f>'CashSum 5'!E29</f>
        <v>281114</v>
      </c>
      <c r="C7239" s="647">
        <f t="shared" si="91"/>
        <v>-273880</v>
      </c>
      <c r="D7239" s="5" t="s">
        <v>778</v>
      </c>
    </row>
    <row r="7240" spans="1:4" x14ac:dyDescent="0.2">
      <c r="A7240">
        <v>7235</v>
      </c>
      <c r="B7240" s="15">
        <f>'CashSum 5'!E30</f>
        <v>4219000</v>
      </c>
      <c r="C7240" s="647">
        <f t="shared" si="91"/>
        <v>-4211765</v>
      </c>
      <c r="D7240" s="5" t="s">
        <v>778</v>
      </c>
    </row>
    <row r="7241" spans="1:4" x14ac:dyDescent="0.2">
      <c r="A7241">
        <v>7236</v>
      </c>
      <c r="B7241" s="15">
        <f>'CashSum 5'!E31</f>
        <v>0</v>
      </c>
      <c r="C7241" s="647">
        <f t="shared" si="91"/>
        <v>7236</v>
      </c>
      <c r="D7241" s="5" t="s">
        <v>778</v>
      </c>
    </row>
    <row r="7242" spans="1:4" x14ac:dyDescent="0.2">
      <c r="A7242">
        <v>7237</v>
      </c>
      <c r="B7242" s="15">
        <f>'CashSum 5'!E32</f>
        <v>4219000</v>
      </c>
      <c r="C7242" s="647">
        <f t="shared" si="91"/>
        <v>-4211763</v>
      </c>
      <c r="D7242" s="5" t="s">
        <v>778</v>
      </c>
    </row>
    <row r="7243" spans="1:4" x14ac:dyDescent="0.2">
      <c r="A7243">
        <v>7238</v>
      </c>
      <c r="B7243" s="15">
        <f>'CashSum 5'!E33</f>
        <v>4500114</v>
      </c>
      <c r="C7243" s="647">
        <f t="shared" si="91"/>
        <v>-4492876</v>
      </c>
      <c r="D7243" s="5" t="s">
        <v>778</v>
      </c>
    </row>
    <row r="7244" spans="1:4" x14ac:dyDescent="0.2">
      <c r="A7244">
        <v>7239</v>
      </c>
      <c r="B7244" s="15">
        <f>'CashSum 5'!E34</f>
        <v>3619000</v>
      </c>
      <c r="C7244" s="647">
        <f t="shared" si="91"/>
        <v>-3611761</v>
      </c>
      <c r="D7244" s="5" t="s">
        <v>778</v>
      </c>
    </row>
    <row r="7245" spans="1:4" x14ac:dyDescent="0.2">
      <c r="A7245">
        <v>7240</v>
      </c>
      <c r="B7245" s="15">
        <f>'CashSum 5'!E35</f>
        <v>0</v>
      </c>
      <c r="C7245" s="647">
        <f t="shared" si="91"/>
        <v>7240</v>
      </c>
      <c r="D7245" s="5" t="s">
        <v>778</v>
      </c>
    </row>
    <row r="7246" spans="1:4" x14ac:dyDescent="0.2">
      <c r="A7246">
        <v>7241</v>
      </c>
      <c r="B7246" s="15">
        <f>'CashSum 5'!E36</f>
        <v>3619000</v>
      </c>
      <c r="C7246" s="647">
        <f t="shared" si="91"/>
        <v>-3611759</v>
      </c>
      <c r="D7246" s="5" t="s">
        <v>778</v>
      </c>
    </row>
    <row r="7247" spans="1:4" x14ac:dyDescent="0.2">
      <c r="A7247">
        <v>7242</v>
      </c>
      <c r="B7247" s="15">
        <f>'CashSum 5'!E37</f>
        <v>881114</v>
      </c>
      <c r="C7247" s="647">
        <f t="shared" si="91"/>
        <v>-873872</v>
      </c>
      <c r="D7247" s="5" t="s">
        <v>778</v>
      </c>
    </row>
    <row r="7248" spans="1:4" x14ac:dyDescent="0.2">
      <c r="A7248">
        <v>7243</v>
      </c>
      <c r="B7248" s="15">
        <f>'CashSum 5'!F29</f>
        <v>2976087</v>
      </c>
      <c r="C7248" s="647">
        <f t="shared" si="91"/>
        <v>-2968844</v>
      </c>
      <c r="D7248" s="5" t="s">
        <v>778</v>
      </c>
    </row>
    <row r="7249" spans="1:4" x14ac:dyDescent="0.2">
      <c r="A7249">
        <v>7244</v>
      </c>
      <c r="B7249" s="15">
        <f>'CashSum 5'!F30</f>
        <v>1250000</v>
      </c>
      <c r="C7249" s="647">
        <f t="shared" si="91"/>
        <v>-1242756</v>
      </c>
      <c r="D7249" s="5" t="s">
        <v>778</v>
      </c>
    </row>
    <row r="7250" spans="1:4" x14ac:dyDescent="0.2">
      <c r="A7250">
        <v>7245</v>
      </c>
      <c r="B7250" s="15">
        <f>'CashSum 5'!F31</f>
        <v>0</v>
      </c>
      <c r="C7250" s="647">
        <f t="shared" si="91"/>
        <v>7245</v>
      </c>
      <c r="D7250" s="5" t="s">
        <v>778</v>
      </c>
    </row>
    <row r="7251" spans="1:4" x14ac:dyDescent="0.2">
      <c r="A7251">
        <v>7246</v>
      </c>
      <c r="B7251" s="15">
        <f>'CashSum 5'!F32</f>
        <v>1250000</v>
      </c>
      <c r="C7251" s="647">
        <f t="shared" si="91"/>
        <v>-1242754</v>
      </c>
      <c r="D7251" s="5" t="s">
        <v>778</v>
      </c>
    </row>
    <row r="7252" spans="1:4" x14ac:dyDescent="0.2">
      <c r="A7252">
        <v>7247</v>
      </c>
      <c r="B7252" s="15">
        <f>'CashSum 5'!F33</f>
        <v>4226087</v>
      </c>
      <c r="C7252" s="647">
        <f t="shared" si="91"/>
        <v>-4218840</v>
      </c>
      <c r="D7252" s="5" t="s">
        <v>778</v>
      </c>
    </row>
    <row r="7253" spans="1:4" x14ac:dyDescent="0.2">
      <c r="A7253">
        <v>7248</v>
      </c>
      <c r="B7253" s="15">
        <f>'CashSum 5'!F34</f>
        <v>1250000</v>
      </c>
      <c r="C7253" s="647">
        <f t="shared" si="91"/>
        <v>-1242752</v>
      </c>
      <c r="D7253" s="5" t="s">
        <v>778</v>
      </c>
    </row>
    <row r="7254" spans="1:4" x14ac:dyDescent="0.2">
      <c r="A7254">
        <v>7249</v>
      </c>
      <c r="B7254" s="15">
        <f>'CashSum 5'!F35</f>
        <v>0</v>
      </c>
      <c r="C7254" s="647">
        <f t="shared" si="91"/>
        <v>7249</v>
      </c>
      <c r="D7254" s="5" t="s">
        <v>778</v>
      </c>
    </row>
    <row r="7255" spans="1:4" x14ac:dyDescent="0.2">
      <c r="A7255">
        <v>7250</v>
      </c>
      <c r="B7255" s="15">
        <f>'CashSum 5'!F36</f>
        <v>1250000</v>
      </c>
      <c r="C7255" s="647">
        <f t="shared" si="91"/>
        <v>-1242750</v>
      </c>
      <c r="D7255" s="5" t="s">
        <v>778</v>
      </c>
    </row>
    <row r="7256" spans="1:4" x14ac:dyDescent="0.2">
      <c r="A7256">
        <v>7251</v>
      </c>
      <c r="B7256" s="15">
        <f>'CashSum 5'!F37</f>
        <v>2976087</v>
      </c>
      <c r="C7256" s="647">
        <f t="shared" si="91"/>
        <v>-2968836</v>
      </c>
      <c r="D7256" s="5" t="s">
        <v>778</v>
      </c>
    </row>
    <row r="7257" spans="1:4" x14ac:dyDescent="0.2">
      <c r="A7257">
        <v>7252</v>
      </c>
      <c r="B7257" s="15">
        <f>'CashSum 5'!G29</f>
        <v>1361568</v>
      </c>
      <c r="C7257" s="647">
        <f t="shared" si="91"/>
        <v>-1354316</v>
      </c>
      <c r="D7257" s="5" t="s">
        <v>778</v>
      </c>
    </row>
    <row r="7258" spans="1:4" x14ac:dyDescent="0.2">
      <c r="A7258">
        <v>7253</v>
      </c>
      <c r="B7258" s="15">
        <f>'CashSum 5'!G30</f>
        <v>3400000</v>
      </c>
      <c r="C7258" s="647">
        <f t="shared" si="91"/>
        <v>-3392747</v>
      </c>
      <c r="D7258" s="5" t="s">
        <v>778</v>
      </c>
    </row>
    <row r="7259" spans="1:4" x14ac:dyDescent="0.2">
      <c r="A7259">
        <v>7254</v>
      </c>
      <c r="B7259" s="15">
        <f>'CashSum 5'!G31</f>
        <v>0</v>
      </c>
      <c r="C7259" s="647">
        <f t="shared" si="91"/>
        <v>7254</v>
      </c>
      <c r="D7259" s="5" t="s">
        <v>778</v>
      </c>
    </row>
    <row r="7260" spans="1:4" x14ac:dyDescent="0.2">
      <c r="A7260">
        <v>7255</v>
      </c>
      <c r="B7260" s="15">
        <f>'CashSum 5'!G32</f>
        <v>3400000</v>
      </c>
      <c r="C7260" s="647">
        <f t="shared" si="91"/>
        <v>-3392745</v>
      </c>
      <c r="D7260" s="5" t="s">
        <v>778</v>
      </c>
    </row>
    <row r="7261" spans="1:4" x14ac:dyDescent="0.2">
      <c r="A7261">
        <v>7256</v>
      </c>
      <c r="B7261" s="15">
        <f>'CashSum 5'!G33</f>
        <v>4761568</v>
      </c>
      <c r="C7261" s="647">
        <f t="shared" si="91"/>
        <v>-4754312</v>
      </c>
      <c r="D7261" s="5" t="s">
        <v>778</v>
      </c>
    </row>
    <row r="7262" spans="1:4" x14ac:dyDescent="0.2">
      <c r="A7262">
        <v>7257</v>
      </c>
      <c r="B7262" s="15">
        <f>'CashSum 5'!G34</f>
        <v>3400000</v>
      </c>
      <c r="C7262" s="647">
        <f t="shared" si="91"/>
        <v>-3392743</v>
      </c>
      <c r="D7262" s="5" t="s">
        <v>778</v>
      </c>
    </row>
    <row r="7263" spans="1:4" x14ac:dyDescent="0.2">
      <c r="A7263">
        <v>7258</v>
      </c>
      <c r="B7263" s="15">
        <f>'CashSum 5'!G35</f>
        <v>0</v>
      </c>
      <c r="C7263" s="647">
        <f t="shared" si="91"/>
        <v>7258</v>
      </c>
      <c r="D7263" s="5" t="s">
        <v>778</v>
      </c>
    </row>
    <row r="7264" spans="1:4" x14ac:dyDescent="0.2">
      <c r="A7264">
        <v>7259</v>
      </c>
      <c r="B7264" s="15">
        <f>'CashSum 5'!G36</f>
        <v>3400000</v>
      </c>
      <c r="C7264" s="647">
        <f t="shared" si="91"/>
        <v>-3392741</v>
      </c>
      <c r="D7264" s="5" t="s">
        <v>778</v>
      </c>
    </row>
    <row r="7265" spans="1:4" x14ac:dyDescent="0.2">
      <c r="A7265">
        <v>7260</v>
      </c>
      <c r="B7265" s="15">
        <f>'CashSum 5'!G37</f>
        <v>1361568</v>
      </c>
      <c r="C7265" s="647">
        <f t="shared" si="91"/>
        <v>-1354308</v>
      </c>
      <c r="D7265" s="5" t="s">
        <v>778</v>
      </c>
    </row>
    <row r="7266" spans="1:4" x14ac:dyDescent="0.2">
      <c r="A7266">
        <v>7261</v>
      </c>
      <c r="B7266" s="15">
        <f>'CashSum 5'!H29</f>
        <v>2846831</v>
      </c>
      <c r="C7266" s="647">
        <f t="shared" si="91"/>
        <v>-2839570</v>
      </c>
      <c r="D7266" s="5" t="s">
        <v>778</v>
      </c>
    </row>
    <row r="7267" spans="1:4" x14ac:dyDescent="0.2">
      <c r="A7267">
        <v>7262</v>
      </c>
      <c r="B7267" s="15">
        <f>'CashSum 5'!H30</f>
        <v>3680000</v>
      </c>
      <c r="C7267" s="647">
        <f t="shared" si="91"/>
        <v>-3672738</v>
      </c>
      <c r="D7267" s="5" t="s">
        <v>778</v>
      </c>
    </row>
    <row r="7268" spans="1:4" x14ac:dyDescent="0.2">
      <c r="A7268">
        <v>7263</v>
      </c>
      <c r="B7268" s="15">
        <f>'CashSum 5'!H31</f>
        <v>0</v>
      </c>
      <c r="C7268" s="647">
        <f t="shared" si="91"/>
        <v>7263</v>
      </c>
      <c r="D7268" s="5" t="s">
        <v>778</v>
      </c>
    </row>
    <row r="7269" spans="1:4" x14ac:dyDescent="0.2">
      <c r="A7269">
        <v>7264</v>
      </c>
      <c r="B7269" s="15">
        <f>'CashSum 5'!H32</f>
        <v>3680000</v>
      </c>
      <c r="C7269" s="647">
        <f t="shared" si="91"/>
        <v>-3672736</v>
      </c>
      <c r="D7269" s="5" t="s">
        <v>778</v>
      </c>
    </row>
    <row r="7270" spans="1:4" x14ac:dyDescent="0.2">
      <c r="A7270">
        <v>7265</v>
      </c>
      <c r="B7270" s="15">
        <f>'CashSum 5'!H33</f>
        <v>6526831</v>
      </c>
      <c r="C7270" s="647">
        <f t="shared" si="91"/>
        <v>-6519566</v>
      </c>
      <c r="D7270" s="5" t="s">
        <v>778</v>
      </c>
    </row>
    <row r="7271" spans="1:4" x14ac:dyDescent="0.2">
      <c r="A7271">
        <v>7266</v>
      </c>
      <c r="B7271" s="15">
        <f>'CashSum 5'!H34</f>
        <v>3880000</v>
      </c>
      <c r="C7271" s="647">
        <f t="shared" si="91"/>
        <v>-3872734</v>
      </c>
      <c r="D7271" s="5" t="s">
        <v>778</v>
      </c>
    </row>
    <row r="7272" spans="1:4" x14ac:dyDescent="0.2">
      <c r="A7272">
        <v>7267</v>
      </c>
      <c r="B7272" s="15">
        <f>'CashSum 5'!H35</f>
        <v>0</v>
      </c>
      <c r="C7272" s="647">
        <f t="shared" si="91"/>
        <v>7267</v>
      </c>
      <c r="D7272" s="5" t="s">
        <v>778</v>
      </c>
    </row>
    <row r="7273" spans="1:4" x14ac:dyDescent="0.2">
      <c r="A7273">
        <v>7268</v>
      </c>
      <c r="B7273" s="15">
        <f>'CashSum 5'!H36</f>
        <v>3880000</v>
      </c>
      <c r="C7273" s="647">
        <f t="shared" si="91"/>
        <v>-3872732</v>
      </c>
      <c r="D7273" s="5" t="s">
        <v>778</v>
      </c>
    </row>
    <row r="7274" spans="1:4" x14ac:dyDescent="0.2">
      <c r="A7274">
        <v>7269</v>
      </c>
      <c r="B7274" s="15">
        <f>'CashSum 5'!H37</f>
        <v>2646831</v>
      </c>
      <c r="C7274" s="647">
        <f t="shared" si="91"/>
        <v>-2639562</v>
      </c>
      <c r="D7274" s="5" t="s">
        <v>778</v>
      </c>
    </row>
    <row r="7275" spans="1:4" x14ac:dyDescent="0.2">
      <c r="A7275">
        <v>7270</v>
      </c>
      <c r="B7275" s="15">
        <f>'CashSum 5'!I29</f>
        <v>4297812</v>
      </c>
      <c r="C7275" s="647">
        <f t="shared" si="91"/>
        <v>-4290542</v>
      </c>
      <c r="D7275" s="5" t="s">
        <v>778</v>
      </c>
    </row>
    <row r="7276" spans="1:4" x14ac:dyDescent="0.2">
      <c r="A7276">
        <v>7271</v>
      </c>
      <c r="B7276" s="15">
        <f>'CashSum 5'!I30</f>
        <v>0</v>
      </c>
      <c r="C7276" s="647">
        <f t="shared" si="91"/>
        <v>7271</v>
      </c>
      <c r="D7276" s="5" t="s">
        <v>778</v>
      </c>
    </row>
    <row r="7277" spans="1:4" x14ac:dyDescent="0.2">
      <c r="A7277">
        <v>7272</v>
      </c>
      <c r="B7277" s="15">
        <f>'CashSum 5'!I31</f>
        <v>0</v>
      </c>
      <c r="C7277" s="647">
        <f t="shared" si="91"/>
        <v>7272</v>
      </c>
      <c r="D7277" s="5" t="s">
        <v>778</v>
      </c>
    </row>
    <row r="7278" spans="1:4" x14ac:dyDescent="0.2">
      <c r="A7278">
        <v>7273</v>
      </c>
      <c r="B7278" s="15">
        <f>'CashSum 5'!I32</f>
        <v>0</v>
      </c>
      <c r="C7278" s="647">
        <f t="shared" si="91"/>
        <v>7273</v>
      </c>
      <c r="D7278" s="5" t="s">
        <v>778</v>
      </c>
    </row>
    <row r="7279" spans="1:4" x14ac:dyDescent="0.2">
      <c r="A7279">
        <v>7274</v>
      </c>
      <c r="B7279" s="15">
        <f>'CashSum 5'!I33</f>
        <v>4297812</v>
      </c>
      <c r="C7279" s="647">
        <f t="shared" si="91"/>
        <v>-4290538</v>
      </c>
      <c r="D7279" s="5" t="s">
        <v>778</v>
      </c>
    </row>
    <row r="7280" spans="1:4" x14ac:dyDescent="0.2">
      <c r="A7280">
        <v>7275</v>
      </c>
      <c r="B7280" s="15">
        <f>'CashSum 5'!I34</f>
        <v>0</v>
      </c>
      <c r="C7280" s="647">
        <f t="shared" si="91"/>
        <v>7275</v>
      </c>
      <c r="D7280" s="5" t="s">
        <v>778</v>
      </c>
    </row>
    <row r="7281" spans="1:4" x14ac:dyDescent="0.2">
      <c r="A7281">
        <v>7276</v>
      </c>
      <c r="B7281" s="15">
        <f>'CashSum 5'!I35</f>
        <v>0</v>
      </c>
      <c r="C7281" s="647">
        <f t="shared" si="91"/>
        <v>7276</v>
      </c>
      <c r="D7281" s="5" t="s">
        <v>778</v>
      </c>
    </row>
    <row r="7282" spans="1:4" x14ac:dyDescent="0.2">
      <c r="A7282">
        <v>7277</v>
      </c>
      <c r="B7282" s="15">
        <f>'CashSum 5'!I36</f>
        <v>0</v>
      </c>
      <c r="C7282" s="647">
        <f t="shared" si="91"/>
        <v>7277</v>
      </c>
      <c r="D7282" s="5" t="s">
        <v>778</v>
      </c>
    </row>
    <row r="7283" spans="1:4" x14ac:dyDescent="0.2">
      <c r="A7283">
        <v>7278</v>
      </c>
      <c r="B7283" s="15">
        <f>'CashSum 5'!I37</f>
        <v>4297812</v>
      </c>
      <c r="C7283" s="647">
        <f t="shared" si="91"/>
        <v>-4290534</v>
      </c>
      <c r="D7283" s="5" t="s">
        <v>778</v>
      </c>
    </row>
    <row r="7284" spans="1:4" x14ac:dyDescent="0.2">
      <c r="A7284">
        <v>7279</v>
      </c>
      <c r="B7284" s="15">
        <f>'CashSum 5'!J29</f>
        <v>197399</v>
      </c>
      <c r="C7284" s="647">
        <f t="shared" si="91"/>
        <v>-190120</v>
      </c>
      <c r="D7284" s="5" t="s">
        <v>778</v>
      </c>
    </row>
    <row r="7285" spans="1:4" x14ac:dyDescent="0.2">
      <c r="A7285">
        <v>7280</v>
      </c>
      <c r="B7285" s="15">
        <f>'CashSum 5'!J30</f>
        <v>360000</v>
      </c>
      <c r="C7285" s="647">
        <f t="shared" si="91"/>
        <v>-352720</v>
      </c>
      <c r="D7285" s="5" t="s">
        <v>778</v>
      </c>
    </row>
    <row r="7286" spans="1:4" x14ac:dyDescent="0.2">
      <c r="A7286">
        <v>7281</v>
      </c>
      <c r="B7286" s="15">
        <f>'CashSum 5'!J31</f>
        <v>0</v>
      </c>
      <c r="C7286" s="647">
        <f t="shared" si="91"/>
        <v>7281</v>
      </c>
      <c r="D7286" s="5" t="s">
        <v>778</v>
      </c>
    </row>
    <row r="7287" spans="1:4" x14ac:dyDescent="0.2">
      <c r="A7287">
        <v>7282</v>
      </c>
      <c r="B7287" s="15">
        <f>'CashSum 5'!J32</f>
        <v>360000</v>
      </c>
      <c r="C7287" s="647">
        <f t="shared" si="91"/>
        <v>-352718</v>
      </c>
      <c r="D7287" s="5" t="s">
        <v>778</v>
      </c>
    </row>
    <row r="7288" spans="1:4" x14ac:dyDescent="0.2">
      <c r="A7288">
        <v>7283</v>
      </c>
      <c r="B7288" s="15">
        <f>'CashSum 5'!J33</f>
        <v>557399</v>
      </c>
      <c r="C7288" s="647">
        <f t="shared" si="91"/>
        <v>-550116</v>
      </c>
      <c r="D7288" s="5" t="s">
        <v>778</v>
      </c>
    </row>
    <row r="7289" spans="1:4" x14ac:dyDescent="0.2">
      <c r="A7289">
        <v>7284</v>
      </c>
      <c r="B7289" s="15">
        <f>'CashSum 5'!J34</f>
        <v>360000</v>
      </c>
      <c r="C7289" s="647">
        <f t="shared" si="91"/>
        <v>-352716</v>
      </c>
      <c r="D7289" s="5" t="s">
        <v>778</v>
      </c>
    </row>
    <row r="7290" spans="1:4" x14ac:dyDescent="0.2">
      <c r="A7290">
        <v>7285</v>
      </c>
      <c r="B7290" s="15">
        <f>'CashSum 5'!J35</f>
        <v>0</v>
      </c>
      <c r="C7290" s="647">
        <f t="shared" si="91"/>
        <v>7285</v>
      </c>
      <c r="D7290" s="5" t="s">
        <v>778</v>
      </c>
    </row>
    <row r="7291" spans="1:4" x14ac:dyDescent="0.2">
      <c r="A7291">
        <v>7286</v>
      </c>
      <c r="B7291" s="15">
        <f>'CashSum 5'!J36</f>
        <v>360000</v>
      </c>
      <c r="C7291" s="647">
        <f t="shared" si="91"/>
        <v>-352714</v>
      </c>
      <c r="D7291" s="5" t="s">
        <v>778</v>
      </c>
    </row>
    <row r="7292" spans="1:4" x14ac:dyDescent="0.2">
      <c r="A7292">
        <v>7287</v>
      </c>
      <c r="B7292" s="15">
        <f>'CashSum 5'!J37</f>
        <v>197399</v>
      </c>
      <c r="C7292" s="647">
        <f t="shared" si="91"/>
        <v>-190112</v>
      </c>
      <c r="D7292" s="5" t="s">
        <v>778</v>
      </c>
    </row>
    <row r="7293" spans="1:4" x14ac:dyDescent="0.2">
      <c r="A7293">
        <v>7288</v>
      </c>
      <c r="B7293" s="15">
        <f>'CashSum 5'!K29</f>
        <v>0</v>
      </c>
      <c r="C7293" s="647">
        <f t="shared" si="91"/>
        <v>7288</v>
      </c>
      <c r="D7293" s="5" t="s">
        <v>778</v>
      </c>
    </row>
    <row r="7294" spans="1:4" x14ac:dyDescent="0.2">
      <c r="A7294">
        <v>7289</v>
      </c>
      <c r="B7294" s="15">
        <f>'CashSum 5'!K30</f>
        <v>0</v>
      </c>
      <c r="C7294" s="647">
        <f t="shared" si="91"/>
        <v>7289</v>
      </c>
      <c r="D7294" s="5" t="s">
        <v>778</v>
      </c>
    </row>
    <row r="7295" spans="1:4" x14ac:dyDescent="0.2">
      <c r="A7295">
        <v>7290</v>
      </c>
      <c r="B7295" s="15">
        <f>'CashSum 5'!K31</f>
        <v>0</v>
      </c>
      <c r="C7295" s="647">
        <f t="shared" si="91"/>
        <v>7290</v>
      </c>
      <c r="D7295" s="5" t="s">
        <v>778</v>
      </c>
    </row>
    <row r="7296" spans="1:4" x14ac:dyDescent="0.2">
      <c r="A7296">
        <v>7291</v>
      </c>
      <c r="B7296" s="15">
        <f>'CashSum 5'!K32</f>
        <v>0</v>
      </c>
      <c r="C7296" s="647">
        <f t="shared" si="91"/>
        <v>7291</v>
      </c>
      <c r="D7296" s="5" t="s">
        <v>778</v>
      </c>
    </row>
    <row r="7297" spans="1:4" x14ac:dyDescent="0.2">
      <c r="A7297">
        <v>7292</v>
      </c>
      <c r="B7297" s="15">
        <f>'CashSum 5'!K33</f>
        <v>0</v>
      </c>
      <c r="C7297" s="647">
        <f t="shared" si="91"/>
        <v>7292</v>
      </c>
      <c r="D7297" s="5" t="s">
        <v>778</v>
      </c>
    </row>
    <row r="7298" spans="1:4" x14ac:dyDescent="0.2">
      <c r="A7298">
        <v>7293</v>
      </c>
      <c r="B7298" s="15">
        <f>'CashSum 5'!K34</f>
        <v>0</v>
      </c>
      <c r="C7298" s="647">
        <f t="shared" si="91"/>
        <v>7293</v>
      </c>
      <c r="D7298" s="5" t="s">
        <v>778</v>
      </c>
    </row>
    <row r="7299" spans="1:4" x14ac:dyDescent="0.2">
      <c r="A7299">
        <v>7294</v>
      </c>
      <c r="B7299" s="15">
        <f>'CashSum 5'!K35</f>
        <v>0</v>
      </c>
      <c r="C7299" s="647">
        <f t="shared" si="91"/>
        <v>7294</v>
      </c>
      <c r="D7299" s="5" t="s">
        <v>778</v>
      </c>
    </row>
    <row r="7300" spans="1:4" x14ac:dyDescent="0.2">
      <c r="A7300">
        <v>7295</v>
      </c>
      <c r="B7300" s="15">
        <f>'CashSum 5'!K36</f>
        <v>0</v>
      </c>
      <c r="C7300" s="647">
        <f t="shared" ref="C7300:C7363" si="92">A7300-B7300</f>
        <v>7295</v>
      </c>
      <c r="D7300" s="5" t="s">
        <v>778</v>
      </c>
    </row>
    <row r="7301" spans="1:4" x14ac:dyDescent="0.2">
      <c r="A7301">
        <v>7296</v>
      </c>
      <c r="B7301" s="15">
        <f>'CashSum 5'!K37</f>
        <v>0</v>
      </c>
      <c r="C7301" s="647">
        <f t="shared" si="92"/>
        <v>7296</v>
      </c>
      <c r="D7301" s="5" t="s">
        <v>778</v>
      </c>
    </row>
    <row r="7302" spans="1:4" x14ac:dyDescent="0.2">
      <c r="A7302">
        <v>7297</v>
      </c>
      <c r="B7302" s="15">
        <f>'EstRev 6-11'!D82</f>
        <v>0</v>
      </c>
      <c r="C7302" s="647">
        <f t="shared" si="92"/>
        <v>7297</v>
      </c>
      <c r="D7302" s="5" t="s">
        <v>779</v>
      </c>
    </row>
    <row r="7303" spans="1:4" x14ac:dyDescent="0.2">
      <c r="A7303">
        <v>7298</v>
      </c>
      <c r="B7303" s="15">
        <f>'EstRev 6-11'!D84</f>
        <v>897000</v>
      </c>
      <c r="C7303" s="647">
        <f t="shared" si="92"/>
        <v>-889702</v>
      </c>
      <c r="D7303" s="5" t="s">
        <v>779</v>
      </c>
    </row>
    <row r="7304" spans="1:4" x14ac:dyDescent="0.2">
      <c r="A7304">
        <v>7299</v>
      </c>
      <c r="B7304" s="15">
        <f>'EstRev 6-11'!D112</f>
        <v>71749500</v>
      </c>
      <c r="C7304" s="647">
        <f t="shared" si="92"/>
        <v>-71742201</v>
      </c>
      <c r="D7304" s="5" t="s">
        <v>779</v>
      </c>
    </row>
    <row r="7305" spans="1:4" x14ac:dyDescent="0.2">
      <c r="A7305">
        <v>7300</v>
      </c>
      <c r="B7305" s="15">
        <f>'EstExp 12-20'!I33</f>
        <v>0</v>
      </c>
      <c r="C7305" s="647">
        <f t="shared" si="92"/>
        <v>7300</v>
      </c>
      <c r="D7305" s="5" t="s">
        <v>788</v>
      </c>
    </row>
    <row r="7306" spans="1:4" x14ac:dyDescent="0.2">
      <c r="A7306">
        <v>7301</v>
      </c>
      <c r="B7306" s="15">
        <f>'EstExp 12-20'!L33</f>
        <v>0</v>
      </c>
      <c r="C7306" s="647">
        <f t="shared" si="92"/>
        <v>7301</v>
      </c>
      <c r="D7306" s="5" t="s">
        <v>788</v>
      </c>
    </row>
    <row r="7307" spans="1:4" x14ac:dyDescent="0.2">
      <c r="A7307">
        <v>7302</v>
      </c>
      <c r="B7307" s="15">
        <f>'EstExp 12-20'!D35</f>
        <v>40880000</v>
      </c>
      <c r="C7307" s="647">
        <f t="shared" si="92"/>
        <v>-40872698</v>
      </c>
      <c r="D7307" s="5" t="s">
        <v>788</v>
      </c>
    </row>
    <row r="7308" spans="1:4" x14ac:dyDescent="0.2">
      <c r="A7308">
        <v>7303</v>
      </c>
      <c r="B7308" s="15">
        <f>'EstExp 12-20'!E35</f>
        <v>3974100</v>
      </c>
      <c r="C7308" s="647">
        <f t="shared" si="92"/>
        <v>-3966797</v>
      </c>
      <c r="D7308" s="5" t="s">
        <v>788</v>
      </c>
    </row>
    <row r="7309" spans="1:4" x14ac:dyDescent="0.2">
      <c r="A7309">
        <v>7304</v>
      </c>
      <c r="B7309" s="15">
        <f>'EstExp 12-20'!F35</f>
        <v>1193150</v>
      </c>
      <c r="C7309" s="647">
        <f t="shared" si="92"/>
        <v>-1185846</v>
      </c>
      <c r="D7309" s="5" t="s">
        <v>788</v>
      </c>
    </row>
    <row r="7310" spans="1:4" x14ac:dyDescent="0.2">
      <c r="A7310">
        <v>7305</v>
      </c>
      <c r="B7310" s="15">
        <f>'EstExp 12-20'!G35</f>
        <v>664600</v>
      </c>
      <c r="C7310" s="647">
        <f t="shared" si="92"/>
        <v>-657295</v>
      </c>
      <c r="D7310" s="5" t="s">
        <v>788</v>
      </c>
    </row>
    <row r="7311" spans="1:4" x14ac:dyDescent="0.2">
      <c r="A7311">
        <v>7306</v>
      </c>
      <c r="B7311" s="15">
        <f>'EstExp 12-20'!H35</f>
        <v>674000</v>
      </c>
      <c r="C7311" s="647">
        <f t="shared" si="92"/>
        <v>-666694</v>
      </c>
      <c r="D7311" s="5" t="s">
        <v>788</v>
      </c>
    </row>
    <row r="7312" spans="1:4" x14ac:dyDescent="0.2">
      <c r="A7312">
        <v>7307</v>
      </c>
      <c r="B7312" s="15">
        <f>'EstExp 12-20'!I35</f>
        <v>4820000</v>
      </c>
      <c r="C7312" s="647">
        <f t="shared" si="92"/>
        <v>-4812693</v>
      </c>
      <c r="D7312" s="5" t="s">
        <v>788</v>
      </c>
    </row>
    <row r="7313" spans="1:4" x14ac:dyDescent="0.2">
      <c r="A7313">
        <v>7308</v>
      </c>
      <c r="B7313" s="15">
        <f>'EstExp 12-20'!J35</f>
        <v>0</v>
      </c>
      <c r="C7313" s="647">
        <f t="shared" si="92"/>
        <v>7308</v>
      </c>
      <c r="D7313" s="5" t="s">
        <v>788</v>
      </c>
    </row>
    <row r="7314" spans="1:4" x14ac:dyDescent="0.2">
      <c r="A7314">
        <v>7309</v>
      </c>
      <c r="B7314" s="15">
        <f>'EstExp 12-20'!L35</f>
        <v>52205850</v>
      </c>
      <c r="C7314" s="647">
        <f t="shared" si="92"/>
        <v>-52198541</v>
      </c>
      <c r="D7314" s="5" t="s">
        <v>788</v>
      </c>
    </row>
    <row r="7315" spans="1:4" x14ac:dyDescent="0.2">
      <c r="A7315">
        <v>7310</v>
      </c>
      <c r="B7315" s="15">
        <f>'EstExp 12-20'!D117</f>
        <v>57441050</v>
      </c>
      <c r="C7315" s="647">
        <f t="shared" si="92"/>
        <v>-57433740</v>
      </c>
      <c r="D7315" s="5" t="s">
        <v>788</v>
      </c>
    </row>
    <row r="7316" spans="1:4" x14ac:dyDescent="0.2">
      <c r="A7316">
        <v>7311</v>
      </c>
      <c r="B7316" s="15">
        <f>'EstExp 12-20'!E117</f>
        <v>6732000</v>
      </c>
      <c r="C7316" s="647">
        <f t="shared" si="92"/>
        <v>-6724689</v>
      </c>
      <c r="D7316" s="5" t="s">
        <v>788</v>
      </c>
    </row>
    <row r="7317" spans="1:4" x14ac:dyDescent="0.2">
      <c r="A7317">
        <v>7312</v>
      </c>
      <c r="B7317" s="15">
        <f>'EstExp 12-20'!F117</f>
        <v>3786100</v>
      </c>
      <c r="C7317" s="647">
        <f t="shared" si="92"/>
        <v>-3778788</v>
      </c>
      <c r="D7317" s="5" t="s">
        <v>788</v>
      </c>
    </row>
    <row r="7318" spans="1:4" x14ac:dyDescent="0.2">
      <c r="A7318">
        <v>7313</v>
      </c>
      <c r="B7318" s="15">
        <f>'EstExp 12-20'!G117</f>
        <v>2705350</v>
      </c>
      <c r="C7318" s="647">
        <f t="shared" si="92"/>
        <v>-2698037</v>
      </c>
      <c r="D7318" s="5" t="s">
        <v>788</v>
      </c>
    </row>
    <row r="7319" spans="1:4" x14ac:dyDescent="0.2">
      <c r="A7319">
        <v>7314</v>
      </c>
      <c r="B7319" s="15">
        <f>'EstExp 12-20'!H117</f>
        <v>833700</v>
      </c>
      <c r="C7319" s="647">
        <f t="shared" si="92"/>
        <v>-826386</v>
      </c>
      <c r="D7319" s="5" t="s">
        <v>788</v>
      </c>
    </row>
    <row r="7320" spans="1:4" x14ac:dyDescent="0.2">
      <c r="A7320">
        <v>7315</v>
      </c>
      <c r="B7320" s="15">
        <f>'EstExp 12-20'!I117</f>
        <v>7745800</v>
      </c>
      <c r="C7320" s="647">
        <f t="shared" si="92"/>
        <v>-7738485</v>
      </c>
      <c r="D7320" s="5" t="s">
        <v>788</v>
      </c>
    </row>
    <row r="7321" spans="1:4" x14ac:dyDescent="0.2">
      <c r="A7321">
        <v>7316</v>
      </c>
      <c r="B7321" s="15">
        <f>'EstExp 12-20'!J117</f>
        <v>0</v>
      </c>
      <c r="C7321" s="647">
        <f t="shared" si="92"/>
        <v>7316</v>
      </c>
      <c r="D7321" s="5" t="s">
        <v>788</v>
      </c>
    </row>
    <row r="7322" spans="1:4" x14ac:dyDescent="0.2">
      <c r="A7322">
        <v>7317</v>
      </c>
      <c r="B7322" s="15">
        <f>'EstExp 12-20'!K117</f>
        <v>0</v>
      </c>
      <c r="C7322" s="647">
        <f t="shared" si="92"/>
        <v>7317</v>
      </c>
      <c r="D7322" s="5" t="s">
        <v>788</v>
      </c>
    </row>
    <row r="7323" spans="1:4" x14ac:dyDescent="0.2">
      <c r="A7323">
        <v>7318</v>
      </c>
      <c r="B7323" s="15">
        <f>'EstExp 12-20'!L117</f>
        <v>79244000</v>
      </c>
      <c r="C7323" s="647">
        <f t="shared" si="92"/>
        <v>-79236682</v>
      </c>
      <c r="D7323" s="5" t="s">
        <v>788</v>
      </c>
    </row>
    <row r="7324" spans="1:4" x14ac:dyDescent="0.2">
      <c r="A7324">
        <v>7319</v>
      </c>
      <c r="B7324" s="15">
        <f>'EstExp 12-20'!L119</f>
        <v>0</v>
      </c>
      <c r="C7324" s="647">
        <f t="shared" si="92"/>
        <v>7319</v>
      </c>
      <c r="D7324" s="5" t="s">
        <v>788</v>
      </c>
    </row>
    <row r="7325" spans="1:4" x14ac:dyDescent="0.2">
      <c r="A7325">
        <v>7320</v>
      </c>
      <c r="B7325" s="15">
        <f>'EstExp 12-20'!D316</f>
        <v>0</v>
      </c>
      <c r="C7325" s="647">
        <f t="shared" si="92"/>
        <v>7320</v>
      </c>
      <c r="D7325" s="5" t="s">
        <v>788</v>
      </c>
    </row>
    <row r="7326" spans="1:4" x14ac:dyDescent="0.2">
      <c r="A7326">
        <v>7321</v>
      </c>
      <c r="B7326" s="15">
        <f>'EstExp 12-20'!D318</f>
        <v>0</v>
      </c>
      <c r="C7326" s="647">
        <f t="shared" si="92"/>
        <v>7321</v>
      </c>
      <c r="D7326" s="5" t="s">
        <v>788</v>
      </c>
    </row>
    <row r="7327" spans="1:4" x14ac:dyDescent="0.2">
      <c r="A7327">
        <v>7322</v>
      </c>
      <c r="B7327" s="15">
        <f>'EstExp 12-20'!D319</f>
        <v>0</v>
      </c>
      <c r="C7327" s="647">
        <f t="shared" si="92"/>
        <v>7322</v>
      </c>
      <c r="D7327" s="5" t="s">
        <v>788</v>
      </c>
    </row>
    <row r="7328" spans="1:4" x14ac:dyDescent="0.2">
      <c r="A7328">
        <v>7323</v>
      </c>
      <c r="B7328" s="15">
        <f>'EstExp 12-20'!D320</f>
        <v>0</v>
      </c>
      <c r="C7328" s="647">
        <f t="shared" si="92"/>
        <v>7323</v>
      </c>
      <c r="D7328" s="5" t="s">
        <v>788</v>
      </c>
    </row>
    <row r="7329" spans="1:4" x14ac:dyDescent="0.2">
      <c r="A7329">
        <v>7324</v>
      </c>
      <c r="B7329" s="15">
        <f>'EstExp 12-20'!D321</f>
        <v>0</v>
      </c>
      <c r="C7329" s="647">
        <f t="shared" si="92"/>
        <v>7324</v>
      </c>
      <c r="D7329" s="5" t="s">
        <v>788</v>
      </c>
    </row>
    <row r="7330" spans="1:4" x14ac:dyDescent="0.2">
      <c r="A7330">
        <v>7325</v>
      </c>
      <c r="B7330" s="15">
        <f>'EstExp 12-20'!D322</f>
        <v>0</v>
      </c>
      <c r="C7330" s="647">
        <f t="shared" si="92"/>
        <v>7325</v>
      </c>
      <c r="D7330" s="5" t="s">
        <v>788</v>
      </c>
    </row>
    <row r="7331" spans="1:4" x14ac:dyDescent="0.2">
      <c r="A7331">
        <v>7326</v>
      </c>
      <c r="B7331" s="15">
        <f>'EstExp 12-20'!D323</f>
        <v>0</v>
      </c>
      <c r="C7331" s="647">
        <f t="shared" si="92"/>
        <v>7326</v>
      </c>
      <c r="D7331" s="5" t="s">
        <v>788</v>
      </c>
    </row>
    <row r="7332" spans="1:4" x14ac:dyDescent="0.2">
      <c r="A7332">
        <v>7327</v>
      </c>
      <c r="B7332" s="15">
        <f>'EstExp 12-20'!D324</f>
        <v>0</v>
      </c>
      <c r="C7332" s="647">
        <f t="shared" si="92"/>
        <v>7327</v>
      </c>
      <c r="D7332" s="5" t="s">
        <v>788</v>
      </c>
    </row>
    <row r="7333" spans="1:4" x14ac:dyDescent="0.2">
      <c r="A7333">
        <v>7328</v>
      </c>
      <c r="B7333" s="15">
        <f>'EstExp 12-20'!D325</f>
        <v>0</v>
      </c>
      <c r="C7333" s="647">
        <f t="shared" si="92"/>
        <v>7328</v>
      </c>
      <c r="D7333" s="5" t="s">
        <v>788</v>
      </c>
    </row>
    <row r="7334" spans="1:4" x14ac:dyDescent="0.2">
      <c r="A7334">
        <v>7329</v>
      </c>
      <c r="B7334" s="15">
        <f>'EstExp 12-20'!D326</f>
        <v>0</v>
      </c>
      <c r="C7334" s="647">
        <f t="shared" si="92"/>
        <v>7329</v>
      </c>
      <c r="D7334" s="5" t="s">
        <v>788</v>
      </c>
    </row>
    <row r="7335" spans="1:4" x14ac:dyDescent="0.2">
      <c r="A7335">
        <v>7330</v>
      </c>
      <c r="B7335" s="15">
        <f>'EstExp 12-20'!D327</f>
        <v>0</v>
      </c>
      <c r="C7335" s="647">
        <f t="shared" si="92"/>
        <v>7330</v>
      </c>
      <c r="D7335" s="5" t="s">
        <v>788</v>
      </c>
    </row>
    <row r="7336" spans="1:4" x14ac:dyDescent="0.2">
      <c r="A7336">
        <v>7331</v>
      </c>
      <c r="B7336" s="15">
        <f>'EstExp 12-20'!D328</f>
        <v>0</v>
      </c>
      <c r="C7336" s="647">
        <f t="shared" si="92"/>
        <v>7331</v>
      </c>
      <c r="D7336" s="5" t="s">
        <v>788</v>
      </c>
    </row>
    <row r="7337" spans="1:4" x14ac:dyDescent="0.2">
      <c r="A7337">
        <v>7332</v>
      </c>
      <c r="B7337" s="15">
        <f>'EstExp 12-20'!D329</f>
        <v>0</v>
      </c>
      <c r="C7337" s="647">
        <f t="shared" si="92"/>
        <v>7332</v>
      </c>
      <c r="D7337" s="5" t="s">
        <v>788</v>
      </c>
    </row>
    <row r="7338" spans="1:4" x14ac:dyDescent="0.2">
      <c r="A7338">
        <v>7333</v>
      </c>
      <c r="B7338" s="15">
        <f>'EstExp 12-20'!D330</f>
        <v>0</v>
      </c>
      <c r="C7338" s="647">
        <f t="shared" si="92"/>
        <v>7333</v>
      </c>
      <c r="D7338" s="5" t="s">
        <v>788</v>
      </c>
    </row>
    <row r="7339" spans="1:4" x14ac:dyDescent="0.2">
      <c r="A7339">
        <v>7334</v>
      </c>
      <c r="B7339" s="15">
        <f>'EstExp 12-20'!D344</f>
        <v>0</v>
      </c>
      <c r="C7339" s="647">
        <f t="shared" si="92"/>
        <v>7334</v>
      </c>
      <c r="D7339" s="5" t="s">
        <v>788</v>
      </c>
    </row>
    <row r="7340" spans="1:4" x14ac:dyDescent="0.2">
      <c r="A7340">
        <v>7335</v>
      </c>
      <c r="B7340" s="15">
        <f>'EstExp 12-20'!D347</f>
        <v>0</v>
      </c>
      <c r="C7340" s="647">
        <f t="shared" si="92"/>
        <v>7335</v>
      </c>
      <c r="D7340" s="5" t="s">
        <v>788</v>
      </c>
    </row>
    <row r="7341" spans="1:4" x14ac:dyDescent="0.2">
      <c r="A7341">
        <v>7336</v>
      </c>
      <c r="B7341" s="15">
        <f>'EstExp 12-20'!D348</f>
        <v>0</v>
      </c>
      <c r="C7341" s="647">
        <f t="shared" si="92"/>
        <v>7336</v>
      </c>
      <c r="D7341" s="5" t="s">
        <v>788</v>
      </c>
    </row>
    <row r="7342" spans="1:4" x14ac:dyDescent="0.2">
      <c r="A7342">
        <v>7337</v>
      </c>
      <c r="B7342" s="15">
        <f>'EstExp 12-20'!D349</f>
        <v>0</v>
      </c>
      <c r="C7342" s="647">
        <f t="shared" si="92"/>
        <v>7337</v>
      </c>
      <c r="D7342" s="5" t="s">
        <v>788</v>
      </c>
    </row>
    <row r="7343" spans="1:4" x14ac:dyDescent="0.2">
      <c r="A7343">
        <v>7338</v>
      </c>
      <c r="B7343" s="15">
        <f>'EstExp 12-20'!D350</f>
        <v>0</v>
      </c>
      <c r="C7343" s="647">
        <f t="shared" si="92"/>
        <v>7338</v>
      </c>
      <c r="D7343" s="5" t="s">
        <v>788</v>
      </c>
    </row>
    <row r="7344" spans="1:4" x14ac:dyDescent="0.2">
      <c r="A7344">
        <v>7339</v>
      </c>
      <c r="B7344" s="15">
        <f>'EstExp 12-20'!D351</f>
        <v>0</v>
      </c>
      <c r="C7344" s="647">
        <f t="shared" si="92"/>
        <v>7339</v>
      </c>
      <c r="D7344" s="5" t="s">
        <v>788</v>
      </c>
    </row>
    <row r="7345" spans="1:4" x14ac:dyDescent="0.2">
      <c r="A7345">
        <v>7340</v>
      </c>
      <c r="B7345" s="15">
        <f>'EstExp 12-20'!D352</f>
        <v>0</v>
      </c>
      <c r="C7345" s="647">
        <f t="shared" si="92"/>
        <v>7340</v>
      </c>
      <c r="D7345" s="5" t="s">
        <v>788</v>
      </c>
    </row>
    <row r="7346" spans="1:4" x14ac:dyDescent="0.2">
      <c r="A7346">
        <v>7341</v>
      </c>
      <c r="B7346" s="15">
        <f>'EstExp 12-20'!D353</f>
        <v>0</v>
      </c>
      <c r="C7346" s="647">
        <f t="shared" si="92"/>
        <v>7341</v>
      </c>
      <c r="D7346" s="5" t="s">
        <v>788</v>
      </c>
    </row>
    <row r="7347" spans="1:4" x14ac:dyDescent="0.2">
      <c r="A7347">
        <v>7342</v>
      </c>
      <c r="B7347" s="15">
        <f>'EstExp 12-20'!D355</f>
        <v>0</v>
      </c>
      <c r="C7347" s="647">
        <f t="shared" si="92"/>
        <v>7342</v>
      </c>
      <c r="D7347" s="5" t="s">
        <v>788</v>
      </c>
    </row>
    <row r="7348" spans="1:4" x14ac:dyDescent="0.2">
      <c r="A7348">
        <v>7343</v>
      </c>
      <c r="B7348" s="15">
        <f>'EstExp 12-20'!D356</f>
        <v>0</v>
      </c>
      <c r="C7348" s="647">
        <f t="shared" si="92"/>
        <v>7343</v>
      </c>
      <c r="D7348" s="5" t="s">
        <v>788</v>
      </c>
    </row>
    <row r="7349" spans="1:4" x14ac:dyDescent="0.2">
      <c r="A7349">
        <v>7344</v>
      </c>
      <c r="B7349" s="15">
        <f>'EstExp 12-20'!D357</f>
        <v>0</v>
      </c>
      <c r="C7349" s="647">
        <f t="shared" si="92"/>
        <v>7344</v>
      </c>
      <c r="D7349" s="5" t="s">
        <v>788</v>
      </c>
    </row>
    <row r="7350" spans="1:4" x14ac:dyDescent="0.2">
      <c r="A7350">
        <v>7345</v>
      </c>
      <c r="B7350" s="15">
        <f>'EstExp 12-20'!D358</f>
        <v>0</v>
      </c>
      <c r="C7350" s="647">
        <f t="shared" si="92"/>
        <v>7345</v>
      </c>
      <c r="D7350" s="5" t="s">
        <v>788</v>
      </c>
    </row>
    <row r="7351" spans="1:4" x14ac:dyDescent="0.2">
      <c r="A7351">
        <v>7346</v>
      </c>
      <c r="B7351" s="15">
        <f>'EstExp 12-20'!D360</f>
        <v>0</v>
      </c>
      <c r="C7351" s="647">
        <f t="shared" si="92"/>
        <v>7346</v>
      </c>
      <c r="D7351" s="5" t="s">
        <v>788</v>
      </c>
    </row>
    <row r="7352" spans="1:4" x14ac:dyDescent="0.2">
      <c r="A7352">
        <v>7347</v>
      </c>
      <c r="B7352" s="15">
        <f>'EstExp 12-20'!D361</f>
        <v>0</v>
      </c>
      <c r="C7352" s="647">
        <f t="shared" si="92"/>
        <v>7347</v>
      </c>
      <c r="D7352" s="5" t="s">
        <v>788</v>
      </c>
    </row>
    <row r="7353" spans="1:4" x14ac:dyDescent="0.2">
      <c r="A7353">
        <v>7348</v>
      </c>
      <c r="B7353" s="15">
        <f>'EstExp 12-20'!D362</f>
        <v>0</v>
      </c>
      <c r="C7353" s="647">
        <f t="shared" si="92"/>
        <v>7348</v>
      </c>
      <c r="D7353" s="5" t="s">
        <v>788</v>
      </c>
    </row>
    <row r="7354" spans="1:4" x14ac:dyDescent="0.2">
      <c r="A7354">
        <v>7349</v>
      </c>
      <c r="B7354" s="15">
        <f>'EstExp 12-20'!D367</f>
        <v>0</v>
      </c>
      <c r="C7354" s="647">
        <f t="shared" si="92"/>
        <v>7349</v>
      </c>
      <c r="D7354" s="5" t="s">
        <v>788</v>
      </c>
    </row>
    <row r="7355" spans="1:4" x14ac:dyDescent="0.2">
      <c r="A7355">
        <v>7350</v>
      </c>
      <c r="B7355" s="15">
        <f>'EstExp 12-20'!D368</f>
        <v>0</v>
      </c>
      <c r="C7355" s="647">
        <f t="shared" si="92"/>
        <v>7350</v>
      </c>
      <c r="D7355" s="5" t="s">
        <v>788</v>
      </c>
    </row>
    <row r="7356" spans="1:4" x14ac:dyDescent="0.2">
      <c r="A7356">
        <v>7351</v>
      </c>
      <c r="B7356" s="15">
        <f>'EstExp 12-20'!D369</f>
        <v>0</v>
      </c>
      <c r="C7356" s="647">
        <f t="shared" si="92"/>
        <v>7351</v>
      </c>
      <c r="D7356" s="5" t="s">
        <v>788</v>
      </c>
    </row>
    <row r="7357" spans="1:4" x14ac:dyDescent="0.2">
      <c r="A7357">
        <v>7352</v>
      </c>
      <c r="B7357" s="15">
        <f>'EstExp 12-20'!D371</f>
        <v>0</v>
      </c>
      <c r="C7357" s="647">
        <f t="shared" si="92"/>
        <v>7352</v>
      </c>
      <c r="D7357" s="5" t="s">
        <v>788</v>
      </c>
    </row>
    <row r="7358" spans="1:4" x14ac:dyDescent="0.2">
      <c r="A7358">
        <v>7353</v>
      </c>
      <c r="B7358" s="15">
        <f>'EstExp 12-20'!D372</f>
        <v>0</v>
      </c>
      <c r="C7358" s="647">
        <f t="shared" si="92"/>
        <v>7353</v>
      </c>
      <c r="D7358" s="5" t="s">
        <v>788</v>
      </c>
    </row>
    <row r="7359" spans="1:4" x14ac:dyDescent="0.2">
      <c r="A7359">
        <v>7354</v>
      </c>
      <c r="B7359" s="15">
        <f>'EstExp 12-20'!D374</f>
        <v>0</v>
      </c>
      <c r="C7359" s="647">
        <f t="shared" si="92"/>
        <v>7354</v>
      </c>
      <c r="D7359" s="5" t="s">
        <v>788</v>
      </c>
    </row>
    <row r="7360" spans="1:4" x14ac:dyDescent="0.2">
      <c r="A7360">
        <v>7355</v>
      </c>
      <c r="B7360" s="15">
        <f>'EstExp 12-20'!D375</f>
        <v>0</v>
      </c>
      <c r="C7360" s="647">
        <f t="shared" si="92"/>
        <v>7355</v>
      </c>
      <c r="D7360" s="5" t="s">
        <v>788</v>
      </c>
    </row>
    <row r="7361" spans="1:4" x14ac:dyDescent="0.2">
      <c r="A7361">
        <v>7356</v>
      </c>
      <c r="B7361" s="15">
        <f>'EstExp 12-20'!D376</f>
        <v>0</v>
      </c>
      <c r="C7361" s="647">
        <f t="shared" si="92"/>
        <v>7356</v>
      </c>
      <c r="D7361" s="5" t="s">
        <v>788</v>
      </c>
    </row>
    <row r="7362" spans="1:4" x14ac:dyDescent="0.2">
      <c r="A7362">
        <v>7357</v>
      </c>
      <c r="B7362" s="15">
        <f>'EstExp 12-20'!D377</f>
        <v>0</v>
      </c>
      <c r="C7362" s="647">
        <f t="shared" si="92"/>
        <v>7357</v>
      </c>
      <c r="D7362" s="5" t="s">
        <v>788</v>
      </c>
    </row>
    <row r="7363" spans="1:4" x14ac:dyDescent="0.2">
      <c r="A7363">
        <v>7358</v>
      </c>
      <c r="B7363" s="15">
        <f>'EstExp 12-20'!D378</f>
        <v>0</v>
      </c>
      <c r="C7363" s="647">
        <f t="shared" si="92"/>
        <v>7358</v>
      </c>
      <c r="D7363" s="5" t="s">
        <v>788</v>
      </c>
    </row>
    <row r="7364" spans="1:4" x14ac:dyDescent="0.2">
      <c r="A7364">
        <v>7359</v>
      </c>
      <c r="B7364" s="15">
        <f>'EstExp 12-20'!D380</f>
        <v>0</v>
      </c>
      <c r="C7364" s="647">
        <f t="shared" ref="C7364:C7427" si="93">A7364-B7364</f>
        <v>7359</v>
      </c>
      <c r="D7364" s="5" t="s">
        <v>788</v>
      </c>
    </row>
    <row r="7365" spans="1:4" x14ac:dyDescent="0.2">
      <c r="A7365">
        <v>7360</v>
      </c>
      <c r="B7365" s="15">
        <f>'EstExp 12-20'!D381</f>
        <v>0</v>
      </c>
      <c r="C7365" s="647">
        <f t="shared" si="93"/>
        <v>7360</v>
      </c>
      <c r="D7365" s="5" t="s">
        <v>788</v>
      </c>
    </row>
    <row r="7366" spans="1:4" x14ac:dyDescent="0.2">
      <c r="A7366">
        <v>7361</v>
      </c>
      <c r="B7366" s="15">
        <f>'EstExp 12-20'!D382</f>
        <v>0</v>
      </c>
      <c r="C7366" s="647">
        <f t="shared" si="93"/>
        <v>7361</v>
      </c>
      <c r="D7366" s="5" t="s">
        <v>788</v>
      </c>
    </row>
    <row r="7367" spans="1:4" x14ac:dyDescent="0.2">
      <c r="A7367">
        <v>7362</v>
      </c>
      <c r="B7367" s="15">
        <f>'EstExp 12-20'!D383</f>
        <v>0</v>
      </c>
      <c r="C7367" s="647">
        <f t="shared" si="93"/>
        <v>7362</v>
      </c>
      <c r="D7367" s="5" t="s">
        <v>788</v>
      </c>
    </row>
    <row r="7368" spans="1:4" x14ac:dyDescent="0.2">
      <c r="A7368">
        <v>7363</v>
      </c>
      <c r="B7368" s="15">
        <f>'EstExp 12-20'!D384</f>
        <v>0</v>
      </c>
      <c r="C7368" s="647">
        <f t="shared" si="93"/>
        <v>7363</v>
      </c>
      <c r="D7368" s="5" t="s">
        <v>788</v>
      </c>
    </row>
    <row r="7369" spans="1:4" x14ac:dyDescent="0.2">
      <c r="A7369">
        <v>7364</v>
      </c>
      <c r="B7369" s="15">
        <f>'EstExp 12-20'!D385</f>
        <v>0</v>
      </c>
      <c r="C7369" s="647">
        <f t="shared" si="93"/>
        <v>7364</v>
      </c>
      <c r="D7369" s="5" t="s">
        <v>788</v>
      </c>
    </row>
    <row r="7370" spans="1:4" x14ac:dyDescent="0.2">
      <c r="A7370">
        <v>7365</v>
      </c>
      <c r="B7370" s="15">
        <f>'EstExp 12-20'!D386</f>
        <v>0</v>
      </c>
      <c r="C7370" s="647">
        <f t="shared" si="93"/>
        <v>7365</v>
      </c>
      <c r="D7370" s="5" t="s">
        <v>788</v>
      </c>
    </row>
    <row r="7371" spans="1:4" x14ac:dyDescent="0.2">
      <c r="A7371">
        <v>7366</v>
      </c>
      <c r="B7371" s="15">
        <f>'EstExp 12-20'!D387</f>
        <v>0</v>
      </c>
      <c r="C7371" s="647">
        <f t="shared" si="93"/>
        <v>7366</v>
      </c>
      <c r="D7371" s="5" t="s">
        <v>788</v>
      </c>
    </row>
    <row r="7372" spans="1:4" x14ac:dyDescent="0.2">
      <c r="A7372">
        <v>7367</v>
      </c>
      <c r="B7372" s="15">
        <f>'EstExp 12-20'!D388</f>
        <v>0</v>
      </c>
      <c r="C7372" s="647">
        <f t="shared" si="93"/>
        <v>7367</v>
      </c>
      <c r="D7372" s="5" t="s">
        <v>788</v>
      </c>
    </row>
    <row r="7373" spans="1:4" x14ac:dyDescent="0.2">
      <c r="A7373">
        <v>7368</v>
      </c>
      <c r="B7373" s="15">
        <f>'EstExp 12-20'!E316</f>
        <v>0</v>
      </c>
      <c r="C7373" s="647">
        <f t="shared" si="93"/>
        <v>7368</v>
      </c>
      <c r="D7373" s="5" t="s">
        <v>788</v>
      </c>
    </row>
    <row r="7374" spans="1:4" x14ac:dyDescent="0.2">
      <c r="A7374">
        <v>7369</v>
      </c>
      <c r="B7374" s="15">
        <f>'EstExp 12-20'!E318</f>
        <v>0</v>
      </c>
      <c r="C7374" s="647">
        <f t="shared" si="93"/>
        <v>7369</v>
      </c>
      <c r="D7374" s="5" t="s">
        <v>788</v>
      </c>
    </row>
    <row r="7375" spans="1:4" x14ac:dyDescent="0.2">
      <c r="A7375">
        <v>7370</v>
      </c>
      <c r="B7375" s="15">
        <f>'EstExp 12-20'!E319</f>
        <v>0</v>
      </c>
      <c r="C7375" s="647">
        <f t="shared" si="93"/>
        <v>7370</v>
      </c>
      <c r="D7375" s="5" t="s">
        <v>788</v>
      </c>
    </row>
    <row r="7376" spans="1:4" x14ac:dyDescent="0.2">
      <c r="A7376">
        <v>7371</v>
      </c>
      <c r="B7376" s="15">
        <f>'EstExp 12-20'!E320</f>
        <v>0</v>
      </c>
      <c r="C7376" s="647">
        <f t="shared" si="93"/>
        <v>7371</v>
      </c>
      <c r="D7376" s="5" t="s">
        <v>788</v>
      </c>
    </row>
    <row r="7377" spans="1:4" x14ac:dyDescent="0.2">
      <c r="A7377">
        <v>7372</v>
      </c>
      <c r="B7377" s="15">
        <f>'EstExp 12-20'!E321</f>
        <v>0</v>
      </c>
      <c r="C7377" s="647">
        <f t="shared" si="93"/>
        <v>7372</v>
      </c>
      <c r="D7377" s="5" t="s">
        <v>788</v>
      </c>
    </row>
    <row r="7378" spans="1:4" x14ac:dyDescent="0.2">
      <c r="A7378">
        <v>7373</v>
      </c>
      <c r="B7378" s="15">
        <f>'EstExp 12-20'!E322</f>
        <v>0</v>
      </c>
      <c r="C7378" s="647">
        <f t="shared" si="93"/>
        <v>7373</v>
      </c>
      <c r="D7378" s="5" t="s">
        <v>788</v>
      </c>
    </row>
    <row r="7379" spans="1:4" x14ac:dyDescent="0.2">
      <c r="A7379">
        <v>7374</v>
      </c>
      <c r="B7379" s="15">
        <f>'EstExp 12-20'!E323</f>
        <v>0</v>
      </c>
      <c r="C7379" s="647">
        <f t="shared" si="93"/>
        <v>7374</v>
      </c>
      <c r="D7379" s="5" t="s">
        <v>788</v>
      </c>
    </row>
    <row r="7380" spans="1:4" x14ac:dyDescent="0.2">
      <c r="A7380">
        <v>7375</v>
      </c>
      <c r="B7380" s="15">
        <f>'EstExp 12-20'!E324</f>
        <v>0</v>
      </c>
      <c r="C7380" s="647">
        <f t="shared" si="93"/>
        <v>7375</v>
      </c>
      <c r="D7380" s="5" t="s">
        <v>788</v>
      </c>
    </row>
    <row r="7381" spans="1:4" x14ac:dyDescent="0.2">
      <c r="A7381">
        <v>7376</v>
      </c>
      <c r="B7381" s="15">
        <f>'EstExp 12-20'!E325</f>
        <v>0</v>
      </c>
      <c r="C7381" s="647">
        <f t="shared" si="93"/>
        <v>7376</v>
      </c>
      <c r="D7381" s="5" t="s">
        <v>788</v>
      </c>
    </row>
    <row r="7382" spans="1:4" x14ac:dyDescent="0.2">
      <c r="A7382">
        <v>7377</v>
      </c>
      <c r="B7382" s="15">
        <f>'EstExp 12-20'!E326</f>
        <v>0</v>
      </c>
      <c r="C7382" s="647">
        <f t="shared" si="93"/>
        <v>7377</v>
      </c>
      <c r="D7382" s="5" t="s">
        <v>788</v>
      </c>
    </row>
    <row r="7383" spans="1:4" x14ac:dyDescent="0.2">
      <c r="A7383">
        <v>7378</v>
      </c>
      <c r="B7383" s="15">
        <f>'EstExp 12-20'!E327</f>
        <v>0</v>
      </c>
      <c r="C7383" s="647">
        <f t="shared" si="93"/>
        <v>7378</v>
      </c>
      <c r="D7383" s="5" t="s">
        <v>788</v>
      </c>
    </row>
    <row r="7384" spans="1:4" x14ac:dyDescent="0.2">
      <c r="A7384">
        <v>7379</v>
      </c>
      <c r="B7384" s="15">
        <f>'EstExp 12-20'!E328</f>
        <v>0</v>
      </c>
      <c r="C7384" s="647">
        <f t="shared" si="93"/>
        <v>7379</v>
      </c>
      <c r="D7384" s="5" t="s">
        <v>788</v>
      </c>
    </row>
    <row r="7385" spans="1:4" x14ac:dyDescent="0.2">
      <c r="A7385">
        <v>7380</v>
      </c>
      <c r="B7385" s="15">
        <f>'EstExp 12-20'!E329</f>
        <v>0</v>
      </c>
      <c r="C7385" s="647">
        <f t="shared" si="93"/>
        <v>7380</v>
      </c>
      <c r="D7385" s="5" t="s">
        <v>788</v>
      </c>
    </row>
    <row r="7386" spans="1:4" x14ac:dyDescent="0.2">
      <c r="A7386">
        <v>7381</v>
      </c>
      <c r="B7386" s="15">
        <f>'EstExp 12-20'!E330</f>
        <v>0</v>
      </c>
      <c r="C7386" s="647">
        <f t="shared" si="93"/>
        <v>7381</v>
      </c>
      <c r="D7386" s="5" t="s">
        <v>788</v>
      </c>
    </row>
    <row r="7387" spans="1:4" x14ac:dyDescent="0.2">
      <c r="A7387">
        <v>7382</v>
      </c>
      <c r="B7387" s="15">
        <f>'EstExp 12-20'!E344</f>
        <v>0</v>
      </c>
      <c r="C7387" s="647">
        <f t="shared" si="93"/>
        <v>7382</v>
      </c>
      <c r="D7387" s="5" t="s">
        <v>788</v>
      </c>
    </row>
    <row r="7388" spans="1:4" x14ac:dyDescent="0.2">
      <c r="A7388">
        <v>7383</v>
      </c>
      <c r="B7388" s="15">
        <f>'EstExp 12-20'!E347</f>
        <v>0</v>
      </c>
      <c r="C7388" s="647">
        <f t="shared" si="93"/>
        <v>7383</v>
      </c>
      <c r="D7388" s="5" t="s">
        <v>788</v>
      </c>
    </row>
    <row r="7389" spans="1:4" x14ac:dyDescent="0.2">
      <c r="A7389">
        <v>7384</v>
      </c>
      <c r="B7389" s="15">
        <f>'EstExp 12-20'!E348</f>
        <v>0</v>
      </c>
      <c r="C7389" s="647">
        <f t="shared" si="93"/>
        <v>7384</v>
      </c>
      <c r="D7389" s="5" t="s">
        <v>788</v>
      </c>
    </row>
    <row r="7390" spans="1:4" x14ac:dyDescent="0.2">
      <c r="A7390">
        <v>7385</v>
      </c>
      <c r="B7390" s="15">
        <f>'EstExp 12-20'!E349</f>
        <v>0</v>
      </c>
      <c r="C7390" s="647">
        <f t="shared" si="93"/>
        <v>7385</v>
      </c>
      <c r="D7390" s="5" t="s">
        <v>788</v>
      </c>
    </row>
    <row r="7391" spans="1:4" x14ac:dyDescent="0.2">
      <c r="A7391">
        <v>7386</v>
      </c>
      <c r="B7391" s="15">
        <f>'EstExp 12-20'!E350</f>
        <v>0</v>
      </c>
      <c r="C7391" s="647">
        <f t="shared" si="93"/>
        <v>7386</v>
      </c>
      <c r="D7391" s="5" t="s">
        <v>788</v>
      </c>
    </row>
    <row r="7392" spans="1:4" x14ac:dyDescent="0.2">
      <c r="A7392">
        <v>7387</v>
      </c>
      <c r="B7392" s="15">
        <f>'EstExp 12-20'!E351</f>
        <v>0</v>
      </c>
      <c r="C7392" s="647">
        <f t="shared" si="93"/>
        <v>7387</v>
      </c>
      <c r="D7392" s="5" t="s">
        <v>788</v>
      </c>
    </row>
    <row r="7393" spans="1:4" x14ac:dyDescent="0.2">
      <c r="A7393">
        <v>7388</v>
      </c>
      <c r="B7393" s="15">
        <f>'EstExp 12-20'!E352</f>
        <v>0</v>
      </c>
      <c r="C7393" s="647">
        <f t="shared" si="93"/>
        <v>7388</v>
      </c>
      <c r="D7393" s="5" t="s">
        <v>788</v>
      </c>
    </row>
    <row r="7394" spans="1:4" x14ac:dyDescent="0.2">
      <c r="A7394">
        <v>7389</v>
      </c>
      <c r="B7394" s="15">
        <f>'EstExp 12-20'!E353</f>
        <v>0</v>
      </c>
      <c r="C7394" s="647">
        <f t="shared" si="93"/>
        <v>7389</v>
      </c>
      <c r="D7394" s="5" t="s">
        <v>788</v>
      </c>
    </row>
    <row r="7395" spans="1:4" x14ac:dyDescent="0.2">
      <c r="A7395">
        <v>7390</v>
      </c>
      <c r="B7395" s="15">
        <f>'EstExp 12-20'!E355</f>
        <v>0</v>
      </c>
      <c r="C7395" s="647">
        <f t="shared" si="93"/>
        <v>7390</v>
      </c>
      <c r="D7395" s="5" t="s">
        <v>788</v>
      </c>
    </row>
    <row r="7396" spans="1:4" x14ac:dyDescent="0.2">
      <c r="A7396">
        <v>7391</v>
      </c>
      <c r="B7396" s="15">
        <f>'EstExp 12-20'!E356</f>
        <v>0</v>
      </c>
      <c r="C7396" s="647">
        <f t="shared" si="93"/>
        <v>7391</v>
      </c>
      <c r="D7396" s="5" t="s">
        <v>788</v>
      </c>
    </row>
    <row r="7397" spans="1:4" x14ac:dyDescent="0.2">
      <c r="A7397">
        <v>7392</v>
      </c>
      <c r="B7397" s="15">
        <f>'EstExp 12-20'!E357</f>
        <v>0</v>
      </c>
      <c r="C7397" s="647">
        <f t="shared" si="93"/>
        <v>7392</v>
      </c>
      <c r="D7397" s="5" t="s">
        <v>788</v>
      </c>
    </row>
    <row r="7398" spans="1:4" x14ac:dyDescent="0.2">
      <c r="A7398">
        <v>7393</v>
      </c>
      <c r="B7398" s="15">
        <f>'EstExp 12-20'!E358</f>
        <v>0</v>
      </c>
      <c r="C7398" s="647">
        <f t="shared" si="93"/>
        <v>7393</v>
      </c>
      <c r="D7398" s="5" t="s">
        <v>788</v>
      </c>
    </row>
    <row r="7399" spans="1:4" x14ac:dyDescent="0.2">
      <c r="A7399">
        <v>7394</v>
      </c>
      <c r="B7399" s="15">
        <f>'EstExp 12-20'!E360</f>
        <v>0</v>
      </c>
      <c r="C7399" s="647">
        <f t="shared" si="93"/>
        <v>7394</v>
      </c>
      <c r="D7399" s="5" t="s">
        <v>788</v>
      </c>
    </row>
    <row r="7400" spans="1:4" x14ac:dyDescent="0.2">
      <c r="A7400">
        <v>7395</v>
      </c>
      <c r="B7400" s="15">
        <f>'EstExp 12-20'!E361</f>
        <v>0</v>
      </c>
      <c r="C7400" s="647">
        <f t="shared" si="93"/>
        <v>7395</v>
      </c>
      <c r="D7400" s="5" t="s">
        <v>788</v>
      </c>
    </row>
    <row r="7401" spans="1:4" x14ac:dyDescent="0.2">
      <c r="A7401">
        <v>7396</v>
      </c>
      <c r="B7401" s="15">
        <f>'EstExp 12-20'!E362</f>
        <v>0</v>
      </c>
      <c r="C7401" s="647">
        <f t="shared" si="93"/>
        <v>7396</v>
      </c>
      <c r="D7401" s="5" t="s">
        <v>788</v>
      </c>
    </row>
    <row r="7402" spans="1:4" x14ac:dyDescent="0.2">
      <c r="A7402">
        <v>7397</v>
      </c>
      <c r="B7402" s="15">
        <f>'EstExp 12-20'!E367</f>
        <v>0</v>
      </c>
      <c r="C7402" s="647">
        <f t="shared" si="93"/>
        <v>7397</v>
      </c>
      <c r="D7402" s="5" t="s">
        <v>788</v>
      </c>
    </row>
    <row r="7403" spans="1:4" x14ac:dyDescent="0.2">
      <c r="A7403">
        <v>7398</v>
      </c>
      <c r="B7403" s="15">
        <f>'EstExp 12-20'!E368</f>
        <v>0</v>
      </c>
      <c r="C7403" s="647">
        <f t="shared" si="93"/>
        <v>7398</v>
      </c>
      <c r="D7403" s="5" t="s">
        <v>788</v>
      </c>
    </row>
    <row r="7404" spans="1:4" x14ac:dyDescent="0.2">
      <c r="A7404">
        <v>7399</v>
      </c>
      <c r="B7404" s="15">
        <f>'EstExp 12-20'!E369</f>
        <v>0</v>
      </c>
      <c r="C7404" s="647">
        <f t="shared" si="93"/>
        <v>7399</v>
      </c>
      <c r="D7404" s="5" t="s">
        <v>788</v>
      </c>
    </row>
    <row r="7405" spans="1:4" x14ac:dyDescent="0.2">
      <c r="A7405">
        <v>7400</v>
      </c>
      <c r="B7405" s="15">
        <f>'EstExp 12-20'!E371</f>
        <v>0</v>
      </c>
      <c r="C7405" s="647">
        <f t="shared" si="93"/>
        <v>7400</v>
      </c>
      <c r="D7405" s="5" t="s">
        <v>788</v>
      </c>
    </row>
    <row r="7406" spans="1:4" x14ac:dyDescent="0.2">
      <c r="A7406">
        <v>7401</v>
      </c>
      <c r="B7406" s="15">
        <f>'EstExp 12-20'!E372</f>
        <v>0</v>
      </c>
      <c r="C7406" s="647">
        <f t="shared" si="93"/>
        <v>7401</v>
      </c>
      <c r="D7406" s="5" t="s">
        <v>788</v>
      </c>
    </row>
    <row r="7407" spans="1:4" x14ac:dyDescent="0.2">
      <c r="A7407">
        <v>7402</v>
      </c>
      <c r="B7407" s="15">
        <f>'EstExp 12-20'!E374</f>
        <v>0</v>
      </c>
      <c r="C7407" s="647">
        <f t="shared" si="93"/>
        <v>7402</v>
      </c>
      <c r="D7407" s="5" t="s">
        <v>788</v>
      </c>
    </row>
    <row r="7408" spans="1:4" x14ac:dyDescent="0.2">
      <c r="A7408">
        <v>7403</v>
      </c>
      <c r="B7408" s="15">
        <f>'EstExp 12-20'!E375</f>
        <v>0</v>
      </c>
      <c r="C7408" s="647">
        <f t="shared" si="93"/>
        <v>7403</v>
      </c>
      <c r="D7408" s="5" t="s">
        <v>788</v>
      </c>
    </row>
    <row r="7409" spans="1:4" x14ac:dyDescent="0.2">
      <c r="A7409">
        <v>7404</v>
      </c>
      <c r="B7409" s="15">
        <f>'EstExp 12-20'!E376</f>
        <v>0</v>
      </c>
      <c r="C7409" s="647">
        <f t="shared" si="93"/>
        <v>7404</v>
      </c>
      <c r="D7409" s="5" t="s">
        <v>788</v>
      </c>
    </row>
    <row r="7410" spans="1:4" x14ac:dyDescent="0.2">
      <c r="A7410">
        <v>7405</v>
      </c>
      <c r="B7410" s="15">
        <f>'EstExp 12-20'!E377</f>
        <v>0</v>
      </c>
      <c r="C7410" s="647">
        <f t="shared" si="93"/>
        <v>7405</v>
      </c>
      <c r="D7410" s="5" t="s">
        <v>788</v>
      </c>
    </row>
    <row r="7411" spans="1:4" x14ac:dyDescent="0.2">
      <c r="A7411">
        <v>7406</v>
      </c>
      <c r="B7411" s="15">
        <f>'EstExp 12-20'!E378</f>
        <v>0</v>
      </c>
      <c r="C7411" s="647">
        <f t="shared" si="93"/>
        <v>7406</v>
      </c>
      <c r="D7411" s="5" t="s">
        <v>788</v>
      </c>
    </row>
    <row r="7412" spans="1:4" x14ac:dyDescent="0.2">
      <c r="A7412">
        <v>7407</v>
      </c>
      <c r="B7412" s="15">
        <f>'EstExp 12-20'!E380</f>
        <v>0</v>
      </c>
      <c r="C7412" s="647">
        <f t="shared" si="93"/>
        <v>7407</v>
      </c>
      <c r="D7412" s="5" t="s">
        <v>788</v>
      </c>
    </row>
    <row r="7413" spans="1:4" x14ac:dyDescent="0.2">
      <c r="A7413">
        <v>7408</v>
      </c>
      <c r="B7413" s="15">
        <f>'EstExp 12-20'!E381</f>
        <v>0</v>
      </c>
      <c r="C7413" s="647">
        <f t="shared" si="93"/>
        <v>7408</v>
      </c>
      <c r="D7413" s="5" t="s">
        <v>788</v>
      </c>
    </row>
    <row r="7414" spans="1:4" x14ac:dyDescent="0.2">
      <c r="A7414">
        <v>7409</v>
      </c>
      <c r="B7414" s="15">
        <f>'EstExp 12-20'!E382</f>
        <v>0</v>
      </c>
      <c r="C7414" s="647">
        <f t="shared" si="93"/>
        <v>7409</v>
      </c>
      <c r="D7414" s="5" t="s">
        <v>788</v>
      </c>
    </row>
    <row r="7415" spans="1:4" x14ac:dyDescent="0.2">
      <c r="A7415">
        <v>7410</v>
      </c>
      <c r="B7415" s="15">
        <f>'EstExp 12-20'!E383</f>
        <v>0</v>
      </c>
      <c r="C7415" s="647">
        <f t="shared" si="93"/>
        <v>7410</v>
      </c>
      <c r="D7415" s="5" t="s">
        <v>788</v>
      </c>
    </row>
    <row r="7416" spans="1:4" x14ac:dyDescent="0.2">
      <c r="A7416">
        <v>7411</v>
      </c>
      <c r="B7416" s="15">
        <f>'EstExp 12-20'!E384</f>
        <v>0</v>
      </c>
      <c r="C7416" s="647">
        <f t="shared" si="93"/>
        <v>7411</v>
      </c>
      <c r="D7416" s="5" t="s">
        <v>788</v>
      </c>
    </row>
    <row r="7417" spans="1:4" x14ac:dyDescent="0.2">
      <c r="A7417">
        <v>7412</v>
      </c>
      <c r="B7417" s="15">
        <f>'EstExp 12-20'!E385</f>
        <v>0</v>
      </c>
      <c r="C7417" s="647">
        <f t="shared" si="93"/>
        <v>7412</v>
      </c>
      <c r="D7417" s="5" t="s">
        <v>788</v>
      </c>
    </row>
    <row r="7418" spans="1:4" x14ac:dyDescent="0.2">
      <c r="A7418">
        <v>7413</v>
      </c>
      <c r="B7418" s="15">
        <f>'EstExp 12-20'!E386</f>
        <v>0</v>
      </c>
      <c r="C7418" s="647">
        <f t="shared" si="93"/>
        <v>7413</v>
      </c>
      <c r="D7418" s="5" t="s">
        <v>788</v>
      </c>
    </row>
    <row r="7419" spans="1:4" x14ac:dyDescent="0.2">
      <c r="A7419">
        <v>7414</v>
      </c>
      <c r="B7419" s="15">
        <f>'EstExp 12-20'!E387</f>
        <v>0</v>
      </c>
      <c r="C7419" s="647">
        <f t="shared" si="93"/>
        <v>7414</v>
      </c>
      <c r="D7419" s="5" t="s">
        <v>788</v>
      </c>
    </row>
    <row r="7420" spans="1:4" x14ac:dyDescent="0.2">
      <c r="A7420">
        <v>7415</v>
      </c>
      <c r="B7420" s="15">
        <f>'EstExp 12-20'!E388</f>
        <v>0</v>
      </c>
      <c r="C7420" s="647">
        <f t="shared" si="93"/>
        <v>7415</v>
      </c>
      <c r="D7420" s="5" t="s">
        <v>788</v>
      </c>
    </row>
    <row r="7421" spans="1:4" x14ac:dyDescent="0.2">
      <c r="A7421">
        <v>7416</v>
      </c>
      <c r="B7421" s="15">
        <f>'EstExp 12-20'!F316</f>
        <v>0</v>
      </c>
      <c r="C7421" s="647">
        <f t="shared" si="93"/>
        <v>7416</v>
      </c>
      <c r="D7421" s="5" t="s">
        <v>788</v>
      </c>
    </row>
    <row r="7422" spans="1:4" x14ac:dyDescent="0.2">
      <c r="A7422">
        <v>7417</v>
      </c>
      <c r="B7422" s="15">
        <f>'EstExp 12-20'!F317</f>
        <v>0</v>
      </c>
      <c r="C7422" s="647">
        <f t="shared" si="93"/>
        <v>7417</v>
      </c>
      <c r="D7422" s="5" t="s">
        <v>788</v>
      </c>
    </row>
    <row r="7423" spans="1:4" x14ac:dyDescent="0.2">
      <c r="A7423">
        <v>7418</v>
      </c>
      <c r="B7423" s="15">
        <f>'EstExp 12-20'!F318</f>
        <v>0</v>
      </c>
      <c r="C7423" s="647">
        <f t="shared" si="93"/>
        <v>7418</v>
      </c>
      <c r="D7423" s="5" t="s">
        <v>788</v>
      </c>
    </row>
    <row r="7424" spans="1:4" x14ac:dyDescent="0.2">
      <c r="A7424">
        <v>7419</v>
      </c>
      <c r="B7424" s="15">
        <f>'EstExp 12-20'!F319</f>
        <v>0</v>
      </c>
      <c r="C7424" s="647">
        <f t="shared" si="93"/>
        <v>7419</v>
      </c>
      <c r="D7424" s="5" t="s">
        <v>788</v>
      </c>
    </row>
    <row r="7425" spans="1:4" x14ac:dyDescent="0.2">
      <c r="A7425">
        <v>7420</v>
      </c>
      <c r="B7425" s="15">
        <f>'EstExp 12-20'!F320</f>
        <v>0</v>
      </c>
      <c r="C7425" s="647">
        <f t="shared" si="93"/>
        <v>7420</v>
      </c>
      <c r="D7425" s="5" t="s">
        <v>788</v>
      </c>
    </row>
    <row r="7426" spans="1:4" x14ac:dyDescent="0.2">
      <c r="A7426">
        <v>7421</v>
      </c>
      <c r="B7426" s="15">
        <f>'EstExp 12-20'!F321</f>
        <v>0</v>
      </c>
      <c r="C7426" s="647">
        <f t="shared" si="93"/>
        <v>7421</v>
      </c>
      <c r="D7426" s="5" t="s">
        <v>788</v>
      </c>
    </row>
    <row r="7427" spans="1:4" x14ac:dyDescent="0.2">
      <c r="A7427">
        <v>7422</v>
      </c>
      <c r="B7427" s="15">
        <f>'EstExp 12-20'!F322</f>
        <v>0</v>
      </c>
      <c r="C7427" s="647">
        <f t="shared" si="93"/>
        <v>7422</v>
      </c>
      <c r="D7427" s="5" t="s">
        <v>788</v>
      </c>
    </row>
    <row r="7428" spans="1:4" x14ac:dyDescent="0.2">
      <c r="A7428">
        <v>7423</v>
      </c>
      <c r="B7428" s="15">
        <f>'EstExp 12-20'!F323</f>
        <v>0</v>
      </c>
      <c r="C7428" s="647">
        <f t="shared" ref="C7428:C7491" si="94">A7428-B7428</f>
        <v>7423</v>
      </c>
      <c r="D7428" s="5" t="s">
        <v>788</v>
      </c>
    </row>
    <row r="7429" spans="1:4" x14ac:dyDescent="0.2">
      <c r="A7429">
        <v>7424</v>
      </c>
      <c r="B7429" s="15">
        <f>'EstExp 12-20'!F324</f>
        <v>0</v>
      </c>
      <c r="C7429" s="647">
        <f t="shared" si="94"/>
        <v>7424</v>
      </c>
      <c r="D7429" s="5" t="s">
        <v>788</v>
      </c>
    </row>
    <row r="7430" spans="1:4" x14ac:dyDescent="0.2">
      <c r="A7430">
        <v>7425</v>
      </c>
      <c r="B7430" s="15">
        <f>'EstExp 12-20'!F325</f>
        <v>0</v>
      </c>
      <c r="C7430" s="647">
        <f t="shared" si="94"/>
        <v>7425</v>
      </c>
      <c r="D7430" s="5" t="s">
        <v>788</v>
      </c>
    </row>
    <row r="7431" spans="1:4" x14ac:dyDescent="0.2">
      <c r="A7431">
        <v>7426</v>
      </c>
      <c r="B7431" s="15">
        <f>'EstExp 12-20'!F326</f>
        <v>0</v>
      </c>
      <c r="C7431" s="647">
        <f t="shared" si="94"/>
        <v>7426</v>
      </c>
      <c r="D7431" s="5" t="s">
        <v>788</v>
      </c>
    </row>
    <row r="7432" spans="1:4" x14ac:dyDescent="0.2">
      <c r="A7432">
        <v>7427</v>
      </c>
      <c r="B7432" s="15">
        <f>'EstExp 12-20'!F327</f>
        <v>0</v>
      </c>
      <c r="C7432" s="647">
        <f t="shared" si="94"/>
        <v>7427</v>
      </c>
      <c r="D7432" s="5" t="s">
        <v>788</v>
      </c>
    </row>
    <row r="7433" spans="1:4" x14ac:dyDescent="0.2">
      <c r="A7433">
        <v>7428</v>
      </c>
      <c r="B7433" s="15">
        <f>'EstExp 12-20'!F328</f>
        <v>0</v>
      </c>
      <c r="C7433" s="647">
        <f t="shared" si="94"/>
        <v>7428</v>
      </c>
      <c r="D7433" s="5" t="s">
        <v>788</v>
      </c>
    </row>
    <row r="7434" spans="1:4" x14ac:dyDescent="0.2">
      <c r="A7434">
        <v>7429</v>
      </c>
      <c r="B7434" s="15">
        <f>'EstExp 12-20'!F329</f>
        <v>0</v>
      </c>
      <c r="C7434" s="647">
        <f t="shared" si="94"/>
        <v>7429</v>
      </c>
      <c r="D7434" s="5" t="s">
        <v>788</v>
      </c>
    </row>
    <row r="7435" spans="1:4" x14ac:dyDescent="0.2">
      <c r="A7435">
        <v>7430</v>
      </c>
      <c r="B7435" s="15">
        <f>'EstExp 12-20'!F330</f>
        <v>0</v>
      </c>
      <c r="C7435" s="647">
        <f t="shared" si="94"/>
        <v>7430</v>
      </c>
      <c r="D7435" s="5" t="s">
        <v>788</v>
      </c>
    </row>
    <row r="7436" spans="1:4" x14ac:dyDescent="0.2">
      <c r="A7436">
        <v>7431</v>
      </c>
      <c r="B7436" s="15">
        <f>'EstExp 12-20'!F344</f>
        <v>0</v>
      </c>
      <c r="C7436" s="647">
        <f t="shared" si="94"/>
        <v>7431</v>
      </c>
      <c r="D7436" s="5" t="s">
        <v>788</v>
      </c>
    </row>
    <row r="7437" spans="1:4" x14ac:dyDescent="0.2">
      <c r="A7437">
        <v>7432</v>
      </c>
      <c r="B7437" s="15">
        <f>'EstExp 12-20'!F347</f>
        <v>0</v>
      </c>
      <c r="C7437" s="647">
        <f t="shared" si="94"/>
        <v>7432</v>
      </c>
      <c r="D7437" s="5" t="s">
        <v>788</v>
      </c>
    </row>
    <row r="7438" spans="1:4" x14ac:dyDescent="0.2">
      <c r="A7438">
        <v>7433</v>
      </c>
      <c r="B7438" s="15">
        <f>'EstExp 12-20'!F348</f>
        <v>0</v>
      </c>
      <c r="C7438" s="647">
        <f t="shared" si="94"/>
        <v>7433</v>
      </c>
      <c r="D7438" s="5" t="s">
        <v>788</v>
      </c>
    </row>
    <row r="7439" spans="1:4" x14ac:dyDescent="0.2">
      <c r="A7439">
        <v>7434</v>
      </c>
      <c r="B7439" s="15">
        <f>'EstExp 12-20'!F349</f>
        <v>0</v>
      </c>
      <c r="C7439" s="647">
        <f t="shared" si="94"/>
        <v>7434</v>
      </c>
      <c r="D7439" s="5" t="s">
        <v>788</v>
      </c>
    </row>
    <row r="7440" spans="1:4" x14ac:dyDescent="0.2">
      <c r="A7440">
        <v>7435</v>
      </c>
      <c r="B7440" s="15">
        <f>'EstExp 12-20'!F350</f>
        <v>0</v>
      </c>
      <c r="C7440" s="647">
        <f t="shared" si="94"/>
        <v>7435</v>
      </c>
      <c r="D7440" s="5" t="s">
        <v>788</v>
      </c>
    </row>
    <row r="7441" spans="1:4" x14ac:dyDescent="0.2">
      <c r="A7441">
        <v>7436</v>
      </c>
      <c r="B7441" s="15">
        <f>'EstExp 12-20'!F351</f>
        <v>0</v>
      </c>
      <c r="C7441" s="647">
        <f t="shared" si="94"/>
        <v>7436</v>
      </c>
      <c r="D7441" s="5" t="s">
        <v>788</v>
      </c>
    </row>
    <row r="7442" spans="1:4" x14ac:dyDescent="0.2">
      <c r="A7442">
        <v>7437</v>
      </c>
      <c r="B7442" s="15">
        <f>'EstExp 12-20'!F352</f>
        <v>0</v>
      </c>
      <c r="C7442" s="647">
        <f t="shared" si="94"/>
        <v>7437</v>
      </c>
      <c r="D7442" s="5" t="s">
        <v>788</v>
      </c>
    </row>
    <row r="7443" spans="1:4" x14ac:dyDescent="0.2">
      <c r="A7443">
        <v>7438</v>
      </c>
      <c r="B7443" s="15">
        <f>'EstExp 12-20'!F353</f>
        <v>0</v>
      </c>
      <c r="C7443" s="647">
        <f t="shared" si="94"/>
        <v>7438</v>
      </c>
      <c r="D7443" s="5" t="s">
        <v>788</v>
      </c>
    </row>
    <row r="7444" spans="1:4" x14ac:dyDescent="0.2">
      <c r="A7444">
        <v>7439</v>
      </c>
      <c r="B7444" s="15">
        <f>'EstExp 12-20'!F355</f>
        <v>0</v>
      </c>
      <c r="C7444" s="647">
        <f t="shared" si="94"/>
        <v>7439</v>
      </c>
      <c r="D7444" s="5" t="s">
        <v>788</v>
      </c>
    </row>
    <row r="7445" spans="1:4" x14ac:dyDescent="0.2">
      <c r="A7445">
        <v>7440</v>
      </c>
      <c r="B7445" s="15">
        <f>'EstExp 12-20'!F356</f>
        <v>0</v>
      </c>
      <c r="C7445" s="647">
        <f t="shared" si="94"/>
        <v>7440</v>
      </c>
      <c r="D7445" s="5" t="s">
        <v>788</v>
      </c>
    </row>
    <row r="7446" spans="1:4" x14ac:dyDescent="0.2">
      <c r="A7446">
        <v>7441</v>
      </c>
      <c r="B7446" s="15">
        <f>'EstExp 12-20'!F357</f>
        <v>0</v>
      </c>
      <c r="C7446" s="647">
        <f t="shared" si="94"/>
        <v>7441</v>
      </c>
      <c r="D7446" s="5" t="s">
        <v>788</v>
      </c>
    </row>
    <row r="7447" spans="1:4" x14ac:dyDescent="0.2">
      <c r="A7447">
        <v>7442</v>
      </c>
      <c r="B7447" s="15">
        <f>'EstExp 12-20'!F358</f>
        <v>0</v>
      </c>
      <c r="C7447" s="647">
        <f t="shared" si="94"/>
        <v>7442</v>
      </c>
      <c r="D7447" s="5" t="s">
        <v>788</v>
      </c>
    </row>
    <row r="7448" spans="1:4" x14ac:dyDescent="0.2">
      <c r="A7448">
        <v>7443</v>
      </c>
      <c r="B7448" s="15">
        <f>'EstExp 12-20'!F360</f>
        <v>360000</v>
      </c>
      <c r="C7448" s="647">
        <f t="shared" si="94"/>
        <v>-352557</v>
      </c>
      <c r="D7448" s="5" t="s">
        <v>788</v>
      </c>
    </row>
    <row r="7449" spans="1:4" x14ac:dyDescent="0.2">
      <c r="A7449">
        <v>7444</v>
      </c>
      <c r="B7449" s="15">
        <f>'EstExp 12-20'!F361</f>
        <v>0</v>
      </c>
      <c r="C7449" s="647">
        <f t="shared" si="94"/>
        <v>7444</v>
      </c>
      <c r="D7449" s="5" t="s">
        <v>788</v>
      </c>
    </row>
    <row r="7450" spans="1:4" x14ac:dyDescent="0.2">
      <c r="A7450">
        <v>7445</v>
      </c>
      <c r="B7450" s="15">
        <f>'EstExp 12-20'!F362</f>
        <v>0</v>
      </c>
      <c r="C7450" s="647">
        <f t="shared" si="94"/>
        <v>7445</v>
      </c>
      <c r="D7450" s="5" t="s">
        <v>788</v>
      </c>
    </row>
    <row r="7451" spans="1:4" x14ac:dyDescent="0.2">
      <c r="A7451">
        <v>7446</v>
      </c>
      <c r="B7451" s="15">
        <f>'EstExp 12-20'!F367</f>
        <v>0</v>
      </c>
      <c r="C7451" s="647">
        <f t="shared" si="94"/>
        <v>7446</v>
      </c>
      <c r="D7451" s="5" t="s">
        <v>788</v>
      </c>
    </row>
    <row r="7452" spans="1:4" x14ac:dyDescent="0.2">
      <c r="A7452">
        <v>7447</v>
      </c>
      <c r="B7452" s="15">
        <f>'EstExp 12-20'!F368</f>
        <v>0</v>
      </c>
      <c r="C7452" s="647">
        <f t="shared" si="94"/>
        <v>7447</v>
      </c>
      <c r="D7452" s="5" t="s">
        <v>788</v>
      </c>
    </row>
    <row r="7453" spans="1:4" x14ac:dyDescent="0.2">
      <c r="A7453">
        <v>7448</v>
      </c>
      <c r="B7453" s="15">
        <f>'EstExp 12-20'!F369</f>
        <v>0</v>
      </c>
      <c r="C7453" s="647">
        <f t="shared" si="94"/>
        <v>7448</v>
      </c>
      <c r="D7453" s="5" t="s">
        <v>788</v>
      </c>
    </row>
    <row r="7454" spans="1:4" x14ac:dyDescent="0.2">
      <c r="A7454">
        <v>7449</v>
      </c>
      <c r="B7454" s="15">
        <f>'EstExp 12-20'!F371</f>
        <v>0</v>
      </c>
      <c r="C7454" s="647">
        <f t="shared" si="94"/>
        <v>7449</v>
      </c>
      <c r="D7454" s="5" t="s">
        <v>788</v>
      </c>
    </row>
    <row r="7455" spans="1:4" x14ac:dyDescent="0.2">
      <c r="A7455">
        <v>7450</v>
      </c>
      <c r="B7455" s="15">
        <f>'EstExp 12-20'!F372</f>
        <v>0</v>
      </c>
      <c r="C7455" s="647">
        <f t="shared" si="94"/>
        <v>7450</v>
      </c>
      <c r="D7455" s="5" t="s">
        <v>788</v>
      </c>
    </row>
    <row r="7456" spans="1:4" x14ac:dyDescent="0.2">
      <c r="A7456">
        <v>7451</v>
      </c>
      <c r="B7456" s="15">
        <f>'EstExp 12-20'!F374</f>
        <v>0</v>
      </c>
      <c r="C7456" s="647">
        <f t="shared" si="94"/>
        <v>7451</v>
      </c>
      <c r="D7456" s="5" t="s">
        <v>788</v>
      </c>
    </row>
    <row r="7457" spans="1:4" x14ac:dyDescent="0.2">
      <c r="A7457">
        <v>7452</v>
      </c>
      <c r="B7457" s="15">
        <f>'EstExp 12-20'!F375</f>
        <v>0</v>
      </c>
      <c r="C7457" s="647">
        <f t="shared" si="94"/>
        <v>7452</v>
      </c>
      <c r="D7457" s="5" t="s">
        <v>788</v>
      </c>
    </row>
    <row r="7458" spans="1:4" x14ac:dyDescent="0.2">
      <c r="A7458">
        <v>7453</v>
      </c>
      <c r="B7458" s="15">
        <f>'EstExp 12-20'!F376</f>
        <v>0</v>
      </c>
      <c r="C7458" s="647">
        <f t="shared" si="94"/>
        <v>7453</v>
      </c>
      <c r="D7458" s="5" t="s">
        <v>788</v>
      </c>
    </row>
    <row r="7459" spans="1:4" x14ac:dyDescent="0.2">
      <c r="A7459">
        <v>7454</v>
      </c>
      <c r="B7459" s="15">
        <f>'EstExp 12-20'!F377</f>
        <v>0</v>
      </c>
      <c r="C7459" s="647">
        <f t="shared" si="94"/>
        <v>7454</v>
      </c>
      <c r="D7459" s="5" t="s">
        <v>788</v>
      </c>
    </row>
    <row r="7460" spans="1:4" x14ac:dyDescent="0.2">
      <c r="A7460">
        <v>7455</v>
      </c>
      <c r="B7460" s="15">
        <f>'EstExp 12-20'!F378</f>
        <v>0</v>
      </c>
      <c r="C7460" s="647">
        <f t="shared" si="94"/>
        <v>7455</v>
      </c>
      <c r="D7460" s="5" t="s">
        <v>788</v>
      </c>
    </row>
    <row r="7461" spans="1:4" x14ac:dyDescent="0.2">
      <c r="A7461">
        <v>7456</v>
      </c>
      <c r="B7461" s="15">
        <f>'EstExp 12-20'!F380</f>
        <v>0</v>
      </c>
      <c r="C7461" s="647">
        <f t="shared" si="94"/>
        <v>7456</v>
      </c>
      <c r="D7461" s="5" t="s">
        <v>788</v>
      </c>
    </row>
    <row r="7462" spans="1:4" x14ac:dyDescent="0.2">
      <c r="A7462">
        <v>7457</v>
      </c>
      <c r="B7462" s="15">
        <f>'EstExp 12-20'!F381</f>
        <v>0</v>
      </c>
      <c r="C7462" s="647">
        <f t="shared" si="94"/>
        <v>7457</v>
      </c>
      <c r="D7462" s="5" t="s">
        <v>788</v>
      </c>
    </row>
    <row r="7463" spans="1:4" x14ac:dyDescent="0.2">
      <c r="A7463">
        <v>7458</v>
      </c>
      <c r="B7463" s="15">
        <f>'EstExp 12-20'!F382</f>
        <v>0</v>
      </c>
      <c r="C7463" s="647">
        <f t="shared" si="94"/>
        <v>7458</v>
      </c>
      <c r="D7463" s="5" t="s">
        <v>788</v>
      </c>
    </row>
    <row r="7464" spans="1:4" x14ac:dyDescent="0.2">
      <c r="A7464">
        <v>7459</v>
      </c>
      <c r="B7464" s="15">
        <f>'EstExp 12-20'!F383</f>
        <v>0</v>
      </c>
      <c r="C7464" s="647">
        <f t="shared" si="94"/>
        <v>7459</v>
      </c>
      <c r="D7464" s="5" t="s">
        <v>788</v>
      </c>
    </row>
    <row r="7465" spans="1:4" x14ac:dyDescent="0.2">
      <c r="A7465">
        <v>7460</v>
      </c>
      <c r="B7465" s="15">
        <f>'EstExp 12-20'!F384</f>
        <v>0</v>
      </c>
      <c r="C7465" s="647">
        <f t="shared" si="94"/>
        <v>7460</v>
      </c>
      <c r="D7465" s="5" t="s">
        <v>788</v>
      </c>
    </row>
    <row r="7466" spans="1:4" x14ac:dyDescent="0.2">
      <c r="A7466">
        <v>7461</v>
      </c>
      <c r="B7466" s="15">
        <f>'EstExp 12-20'!F385</f>
        <v>0</v>
      </c>
      <c r="C7466" s="647">
        <f t="shared" si="94"/>
        <v>7461</v>
      </c>
      <c r="D7466" s="5" t="s">
        <v>788</v>
      </c>
    </row>
    <row r="7467" spans="1:4" x14ac:dyDescent="0.2">
      <c r="A7467">
        <v>7462</v>
      </c>
      <c r="B7467" s="15">
        <f>'EstExp 12-20'!F386</f>
        <v>0</v>
      </c>
      <c r="C7467" s="647">
        <f t="shared" si="94"/>
        <v>7462</v>
      </c>
      <c r="D7467" s="5" t="s">
        <v>788</v>
      </c>
    </row>
    <row r="7468" spans="1:4" x14ac:dyDescent="0.2">
      <c r="A7468">
        <v>7463</v>
      </c>
      <c r="B7468" s="15">
        <f>'EstExp 12-20'!F387</f>
        <v>360000</v>
      </c>
      <c r="C7468" s="647">
        <f t="shared" si="94"/>
        <v>-352537</v>
      </c>
      <c r="D7468" s="5" t="s">
        <v>788</v>
      </c>
    </row>
    <row r="7469" spans="1:4" x14ac:dyDescent="0.2">
      <c r="A7469">
        <v>7464</v>
      </c>
      <c r="B7469" s="15">
        <f>'EstExp 12-20'!F388</f>
        <v>0</v>
      </c>
      <c r="C7469" s="647">
        <f t="shared" si="94"/>
        <v>7464</v>
      </c>
      <c r="D7469" s="5" t="s">
        <v>788</v>
      </c>
    </row>
    <row r="7470" spans="1:4" x14ac:dyDescent="0.2">
      <c r="A7470">
        <v>7465</v>
      </c>
      <c r="B7470" s="15">
        <f>'EstExp 12-20'!F393</f>
        <v>0</v>
      </c>
      <c r="C7470" s="647">
        <f t="shared" si="94"/>
        <v>7465</v>
      </c>
      <c r="D7470" s="5" t="s">
        <v>788</v>
      </c>
    </row>
    <row r="7471" spans="1:4" x14ac:dyDescent="0.2">
      <c r="A7471">
        <v>7466</v>
      </c>
      <c r="B7471" s="15">
        <f>'EstExp 12-20'!F394</f>
        <v>0</v>
      </c>
      <c r="C7471" s="647">
        <f t="shared" si="94"/>
        <v>7466</v>
      </c>
      <c r="D7471" s="5" t="s">
        <v>788</v>
      </c>
    </row>
    <row r="7472" spans="1:4" x14ac:dyDescent="0.2">
      <c r="A7472">
        <v>7467</v>
      </c>
      <c r="B7472" s="15">
        <f>'EstExp 12-20'!F395</f>
        <v>0</v>
      </c>
      <c r="C7472" s="647">
        <f t="shared" si="94"/>
        <v>7467</v>
      </c>
      <c r="D7472" s="5" t="s">
        <v>788</v>
      </c>
    </row>
    <row r="7473" spans="1:4" x14ac:dyDescent="0.2">
      <c r="A7473">
        <v>7468</v>
      </c>
      <c r="B7473" s="15">
        <f>'EstExp 12-20'!F396</f>
        <v>0</v>
      </c>
      <c r="C7473" s="647">
        <f t="shared" si="94"/>
        <v>7468</v>
      </c>
      <c r="D7473" s="5" t="s">
        <v>788</v>
      </c>
    </row>
    <row r="7474" spans="1:4" x14ac:dyDescent="0.2">
      <c r="A7474">
        <v>7469</v>
      </c>
      <c r="B7474" s="15">
        <f>'EstExp 12-20'!F397</f>
        <v>0</v>
      </c>
      <c r="C7474" s="647">
        <f t="shared" si="94"/>
        <v>7469</v>
      </c>
      <c r="D7474" s="5" t="s">
        <v>788</v>
      </c>
    </row>
    <row r="7475" spans="1:4" x14ac:dyDescent="0.2">
      <c r="A7475">
        <v>7470</v>
      </c>
      <c r="B7475" s="15">
        <f>'EstExp 12-20'!F412</f>
        <v>0</v>
      </c>
      <c r="C7475" s="647">
        <f t="shared" si="94"/>
        <v>7470</v>
      </c>
      <c r="D7475" s="5" t="s">
        <v>788</v>
      </c>
    </row>
    <row r="7476" spans="1:4" x14ac:dyDescent="0.2">
      <c r="A7476">
        <v>7471</v>
      </c>
      <c r="B7476" s="15">
        <f>'EstExp 12-20'!F413</f>
        <v>0</v>
      </c>
      <c r="C7476" s="647">
        <f t="shared" si="94"/>
        <v>7471</v>
      </c>
      <c r="D7476" s="5" t="s">
        <v>788</v>
      </c>
    </row>
    <row r="7477" spans="1:4" x14ac:dyDescent="0.2">
      <c r="A7477">
        <v>7472</v>
      </c>
      <c r="B7477" s="15">
        <f>'EstExp 12-20'!F414</f>
        <v>0</v>
      </c>
      <c r="C7477" s="647">
        <f t="shared" si="94"/>
        <v>7472</v>
      </c>
      <c r="D7477" s="5" t="s">
        <v>788</v>
      </c>
    </row>
    <row r="7478" spans="1:4" x14ac:dyDescent="0.2">
      <c r="A7478">
        <v>7473</v>
      </c>
      <c r="B7478" s="15">
        <f>'EstExp 12-20'!F415</f>
        <v>0</v>
      </c>
      <c r="C7478" s="647">
        <f t="shared" si="94"/>
        <v>7473</v>
      </c>
      <c r="D7478" s="5" t="s">
        <v>788</v>
      </c>
    </row>
    <row r="7479" spans="1:4" x14ac:dyDescent="0.2">
      <c r="A7479">
        <v>7474</v>
      </c>
      <c r="B7479" s="15">
        <f>'EstExp 12-20'!G316</f>
        <v>0</v>
      </c>
      <c r="C7479" s="647">
        <f t="shared" si="94"/>
        <v>7474</v>
      </c>
      <c r="D7479" s="5" t="s">
        <v>788</v>
      </c>
    </row>
    <row r="7480" spans="1:4" x14ac:dyDescent="0.2">
      <c r="A7480">
        <v>7475</v>
      </c>
      <c r="B7480" s="15">
        <f>'EstExp 12-20'!G318</f>
        <v>0</v>
      </c>
      <c r="C7480" s="647">
        <f t="shared" si="94"/>
        <v>7475</v>
      </c>
      <c r="D7480" s="5" t="s">
        <v>788</v>
      </c>
    </row>
    <row r="7481" spans="1:4" x14ac:dyDescent="0.2">
      <c r="A7481">
        <v>7476</v>
      </c>
      <c r="B7481" s="15">
        <f>'EstExp 12-20'!G319</f>
        <v>0</v>
      </c>
      <c r="C7481" s="647">
        <f t="shared" si="94"/>
        <v>7476</v>
      </c>
      <c r="D7481" s="5" t="s">
        <v>788</v>
      </c>
    </row>
    <row r="7482" spans="1:4" x14ac:dyDescent="0.2">
      <c r="A7482">
        <v>7477</v>
      </c>
      <c r="B7482" s="15">
        <f>'EstExp 12-20'!G320</f>
        <v>0</v>
      </c>
      <c r="C7482" s="647">
        <f t="shared" si="94"/>
        <v>7477</v>
      </c>
      <c r="D7482" s="5" t="s">
        <v>788</v>
      </c>
    </row>
    <row r="7483" spans="1:4" x14ac:dyDescent="0.2">
      <c r="A7483">
        <v>7478</v>
      </c>
      <c r="B7483" s="15">
        <f>'EstExp 12-20'!G321</f>
        <v>0</v>
      </c>
      <c r="C7483" s="647">
        <f t="shared" si="94"/>
        <v>7478</v>
      </c>
      <c r="D7483" s="5" t="s">
        <v>788</v>
      </c>
    </row>
    <row r="7484" spans="1:4" x14ac:dyDescent="0.2">
      <c r="A7484">
        <v>7479</v>
      </c>
      <c r="B7484" s="15">
        <f>'EstExp 12-20'!G322</f>
        <v>0</v>
      </c>
      <c r="C7484" s="647">
        <f t="shared" si="94"/>
        <v>7479</v>
      </c>
      <c r="D7484" s="5" t="s">
        <v>788</v>
      </c>
    </row>
    <row r="7485" spans="1:4" x14ac:dyDescent="0.2">
      <c r="A7485">
        <v>7480</v>
      </c>
      <c r="B7485" s="15">
        <f>'EstExp 12-20'!G323</f>
        <v>0</v>
      </c>
      <c r="C7485" s="647">
        <f t="shared" si="94"/>
        <v>7480</v>
      </c>
      <c r="D7485" s="5" t="s">
        <v>788</v>
      </c>
    </row>
    <row r="7486" spans="1:4" x14ac:dyDescent="0.2">
      <c r="A7486">
        <v>7481</v>
      </c>
      <c r="B7486" s="15">
        <f>'EstExp 12-20'!G324</f>
        <v>0</v>
      </c>
      <c r="C7486" s="647">
        <f t="shared" si="94"/>
        <v>7481</v>
      </c>
      <c r="D7486" s="5" t="s">
        <v>788</v>
      </c>
    </row>
    <row r="7487" spans="1:4" x14ac:dyDescent="0.2">
      <c r="A7487">
        <v>7482</v>
      </c>
      <c r="B7487" s="15">
        <f>'EstExp 12-20'!G325</f>
        <v>0</v>
      </c>
      <c r="C7487" s="647">
        <f t="shared" si="94"/>
        <v>7482</v>
      </c>
      <c r="D7487" s="5" t="s">
        <v>788</v>
      </c>
    </row>
    <row r="7488" spans="1:4" x14ac:dyDescent="0.2">
      <c r="A7488">
        <v>7483</v>
      </c>
      <c r="B7488" s="15">
        <f>'EstExp 12-20'!G326</f>
        <v>0</v>
      </c>
      <c r="C7488" s="647">
        <f t="shared" si="94"/>
        <v>7483</v>
      </c>
      <c r="D7488" s="5" t="s">
        <v>788</v>
      </c>
    </row>
    <row r="7489" spans="1:4" x14ac:dyDescent="0.2">
      <c r="A7489">
        <v>7484</v>
      </c>
      <c r="B7489" s="15">
        <f>'EstExp 12-20'!G327</f>
        <v>0</v>
      </c>
      <c r="C7489" s="647">
        <f t="shared" si="94"/>
        <v>7484</v>
      </c>
      <c r="D7489" s="5" t="s">
        <v>788</v>
      </c>
    </row>
    <row r="7490" spans="1:4" x14ac:dyDescent="0.2">
      <c r="A7490">
        <v>7485</v>
      </c>
      <c r="B7490" s="15">
        <f>'EstExp 12-20'!G328</f>
        <v>0</v>
      </c>
      <c r="C7490" s="647">
        <f t="shared" si="94"/>
        <v>7485</v>
      </c>
      <c r="D7490" s="5" t="s">
        <v>788</v>
      </c>
    </row>
    <row r="7491" spans="1:4" x14ac:dyDescent="0.2">
      <c r="A7491">
        <v>7486</v>
      </c>
      <c r="B7491" s="15">
        <f>'EstExp 12-20'!G329</f>
        <v>0</v>
      </c>
      <c r="C7491" s="647">
        <f t="shared" si="94"/>
        <v>7486</v>
      </c>
      <c r="D7491" s="5" t="s">
        <v>788</v>
      </c>
    </row>
    <row r="7492" spans="1:4" x14ac:dyDescent="0.2">
      <c r="A7492">
        <v>7487</v>
      </c>
      <c r="B7492" s="15">
        <f>'EstExp 12-20'!G330</f>
        <v>0</v>
      </c>
      <c r="C7492" s="647">
        <f t="shared" ref="C7492:C7555" si="95">A7492-B7492</f>
        <v>7487</v>
      </c>
      <c r="D7492" s="5" t="s">
        <v>788</v>
      </c>
    </row>
    <row r="7493" spans="1:4" x14ac:dyDescent="0.2">
      <c r="A7493">
        <v>7488</v>
      </c>
      <c r="B7493" s="15">
        <f>'EstExp 12-20'!G344</f>
        <v>0</v>
      </c>
      <c r="C7493" s="647">
        <f t="shared" si="95"/>
        <v>7488</v>
      </c>
      <c r="D7493" s="5" t="s">
        <v>788</v>
      </c>
    </row>
    <row r="7494" spans="1:4" x14ac:dyDescent="0.2">
      <c r="A7494">
        <v>7489</v>
      </c>
      <c r="B7494" s="15">
        <f>'EstExp 12-20'!G347</f>
        <v>0</v>
      </c>
      <c r="C7494" s="647">
        <f t="shared" si="95"/>
        <v>7489</v>
      </c>
      <c r="D7494" s="5" t="s">
        <v>788</v>
      </c>
    </row>
    <row r="7495" spans="1:4" x14ac:dyDescent="0.2">
      <c r="A7495">
        <v>7490</v>
      </c>
      <c r="B7495" s="15">
        <f>'EstExp 12-20'!G348</f>
        <v>0</v>
      </c>
      <c r="C7495" s="647">
        <f t="shared" si="95"/>
        <v>7490</v>
      </c>
      <c r="D7495" s="5" t="s">
        <v>788</v>
      </c>
    </row>
    <row r="7496" spans="1:4" x14ac:dyDescent="0.2">
      <c r="A7496">
        <v>7491</v>
      </c>
      <c r="B7496" s="15">
        <f>'EstExp 12-20'!G349</f>
        <v>0</v>
      </c>
      <c r="C7496" s="647">
        <f t="shared" si="95"/>
        <v>7491</v>
      </c>
      <c r="D7496" s="5" t="s">
        <v>788</v>
      </c>
    </row>
    <row r="7497" spans="1:4" x14ac:dyDescent="0.2">
      <c r="A7497">
        <v>7492</v>
      </c>
      <c r="B7497" s="15">
        <f>'EstExp 12-20'!G350</f>
        <v>0</v>
      </c>
      <c r="C7497" s="647">
        <f t="shared" si="95"/>
        <v>7492</v>
      </c>
      <c r="D7497" s="5" t="s">
        <v>788</v>
      </c>
    </row>
    <row r="7498" spans="1:4" x14ac:dyDescent="0.2">
      <c r="A7498">
        <v>7493</v>
      </c>
      <c r="B7498" s="15">
        <f>'EstExp 12-20'!G351</f>
        <v>0</v>
      </c>
      <c r="C7498" s="647">
        <f t="shared" si="95"/>
        <v>7493</v>
      </c>
      <c r="D7498" s="5" t="s">
        <v>788</v>
      </c>
    </row>
    <row r="7499" spans="1:4" x14ac:dyDescent="0.2">
      <c r="A7499">
        <v>7494</v>
      </c>
      <c r="B7499" s="15">
        <f>'EstExp 12-20'!G352</f>
        <v>0</v>
      </c>
      <c r="C7499" s="647">
        <f t="shared" si="95"/>
        <v>7494</v>
      </c>
      <c r="D7499" s="5" t="s">
        <v>788</v>
      </c>
    </row>
    <row r="7500" spans="1:4" x14ac:dyDescent="0.2">
      <c r="A7500">
        <v>7495</v>
      </c>
      <c r="B7500" s="15">
        <f>'EstExp 12-20'!G353</f>
        <v>0</v>
      </c>
      <c r="C7500" s="647">
        <f t="shared" si="95"/>
        <v>7495</v>
      </c>
      <c r="D7500" s="5" t="s">
        <v>788</v>
      </c>
    </row>
    <row r="7501" spans="1:4" x14ac:dyDescent="0.2">
      <c r="A7501">
        <v>7496</v>
      </c>
      <c r="B7501" s="15">
        <f>'EstExp 12-20'!G355</f>
        <v>0</v>
      </c>
      <c r="C7501" s="647">
        <f t="shared" si="95"/>
        <v>7496</v>
      </c>
      <c r="D7501" s="5" t="s">
        <v>788</v>
      </c>
    </row>
    <row r="7502" spans="1:4" x14ac:dyDescent="0.2">
      <c r="A7502">
        <v>7497</v>
      </c>
      <c r="B7502" s="15">
        <f>'EstExp 12-20'!G356</f>
        <v>0</v>
      </c>
      <c r="C7502" s="647">
        <f t="shared" si="95"/>
        <v>7497</v>
      </c>
      <c r="D7502" s="5" t="s">
        <v>788</v>
      </c>
    </row>
    <row r="7503" spans="1:4" x14ac:dyDescent="0.2">
      <c r="A7503">
        <v>7498</v>
      </c>
      <c r="B7503" s="15">
        <f>'EstExp 12-20'!G357</f>
        <v>0</v>
      </c>
      <c r="C7503" s="647">
        <f t="shared" si="95"/>
        <v>7498</v>
      </c>
      <c r="D7503" s="5" t="s">
        <v>788</v>
      </c>
    </row>
    <row r="7504" spans="1:4" x14ac:dyDescent="0.2">
      <c r="A7504">
        <v>7499</v>
      </c>
      <c r="B7504" s="15">
        <f>'EstExp 12-20'!G358</f>
        <v>0</v>
      </c>
      <c r="C7504" s="647">
        <f t="shared" si="95"/>
        <v>7499</v>
      </c>
      <c r="D7504" s="5" t="s">
        <v>788</v>
      </c>
    </row>
    <row r="7505" spans="1:4" x14ac:dyDescent="0.2">
      <c r="A7505">
        <v>7500</v>
      </c>
      <c r="B7505" s="15">
        <f>'EstExp 12-20'!G360</f>
        <v>0</v>
      </c>
      <c r="C7505" s="647">
        <f t="shared" si="95"/>
        <v>7500</v>
      </c>
      <c r="D7505" s="5" t="s">
        <v>788</v>
      </c>
    </row>
    <row r="7506" spans="1:4" x14ac:dyDescent="0.2">
      <c r="A7506">
        <v>7501</v>
      </c>
      <c r="B7506" s="15">
        <f>'EstExp 12-20'!G361</f>
        <v>0</v>
      </c>
      <c r="C7506" s="647">
        <f t="shared" si="95"/>
        <v>7501</v>
      </c>
      <c r="D7506" s="5" t="s">
        <v>788</v>
      </c>
    </row>
    <row r="7507" spans="1:4" x14ac:dyDescent="0.2">
      <c r="A7507">
        <v>7502</v>
      </c>
      <c r="B7507" s="15">
        <f>'EstExp 12-20'!G362</f>
        <v>0</v>
      </c>
      <c r="C7507" s="647">
        <f t="shared" si="95"/>
        <v>7502</v>
      </c>
      <c r="D7507" s="5" t="s">
        <v>788</v>
      </c>
    </row>
    <row r="7508" spans="1:4" x14ac:dyDescent="0.2">
      <c r="A7508">
        <v>7503</v>
      </c>
      <c r="B7508" s="15">
        <f>'EstExp 12-20'!G367</f>
        <v>0</v>
      </c>
      <c r="C7508" s="647">
        <f t="shared" si="95"/>
        <v>7503</v>
      </c>
      <c r="D7508" s="5" t="s">
        <v>788</v>
      </c>
    </row>
    <row r="7509" spans="1:4" x14ac:dyDescent="0.2">
      <c r="A7509">
        <v>7504</v>
      </c>
      <c r="B7509" s="15">
        <f>'EstExp 12-20'!G368</f>
        <v>0</v>
      </c>
      <c r="C7509" s="647">
        <f t="shared" si="95"/>
        <v>7504</v>
      </c>
      <c r="D7509" s="5" t="s">
        <v>788</v>
      </c>
    </row>
    <row r="7510" spans="1:4" x14ac:dyDescent="0.2">
      <c r="A7510">
        <v>7505</v>
      </c>
      <c r="B7510" s="15">
        <f>'EstExp 12-20'!G369</f>
        <v>0</v>
      </c>
      <c r="C7510" s="647">
        <f t="shared" si="95"/>
        <v>7505</v>
      </c>
      <c r="D7510" s="5" t="s">
        <v>788</v>
      </c>
    </row>
    <row r="7511" spans="1:4" x14ac:dyDescent="0.2">
      <c r="A7511">
        <v>7506</v>
      </c>
      <c r="B7511" s="15">
        <f>'EstExp 12-20'!G371</f>
        <v>0</v>
      </c>
      <c r="C7511" s="647">
        <f t="shared" si="95"/>
        <v>7506</v>
      </c>
      <c r="D7511" s="5" t="s">
        <v>788</v>
      </c>
    </row>
    <row r="7512" spans="1:4" x14ac:dyDescent="0.2">
      <c r="A7512">
        <v>7507</v>
      </c>
      <c r="B7512" s="15">
        <f>'EstExp 12-20'!G372</f>
        <v>0</v>
      </c>
      <c r="C7512" s="647">
        <f t="shared" si="95"/>
        <v>7507</v>
      </c>
      <c r="D7512" s="5" t="s">
        <v>788</v>
      </c>
    </row>
    <row r="7513" spans="1:4" x14ac:dyDescent="0.2">
      <c r="A7513">
        <v>7508</v>
      </c>
      <c r="B7513" s="15">
        <f>'EstExp 12-20'!G374</f>
        <v>0</v>
      </c>
      <c r="C7513" s="647">
        <f t="shared" si="95"/>
        <v>7508</v>
      </c>
      <c r="D7513" s="5" t="s">
        <v>788</v>
      </c>
    </row>
    <row r="7514" spans="1:4" x14ac:dyDescent="0.2">
      <c r="A7514">
        <v>7509</v>
      </c>
      <c r="B7514" s="15">
        <f>'EstExp 12-20'!G375</f>
        <v>0</v>
      </c>
      <c r="C7514" s="647">
        <f t="shared" si="95"/>
        <v>7509</v>
      </c>
      <c r="D7514" s="5" t="s">
        <v>788</v>
      </c>
    </row>
    <row r="7515" spans="1:4" x14ac:dyDescent="0.2">
      <c r="A7515">
        <v>7510</v>
      </c>
      <c r="B7515" s="15">
        <f>'EstExp 12-20'!G376</f>
        <v>0</v>
      </c>
      <c r="C7515" s="647">
        <f t="shared" si="95"/>
        <v>7510</v>
      </c>
      <c r="D7515" s="5" t="s">
        <v>788</v>
      </c>
    </row>
    <row r="7516" spans="1:4" x14ac:dyDescent="0.2">
      <c r="A7516">
        <v>7511</v>
      </c>
      <c r="B7516" s="15">
        <f>'EstExp 12-20'!G377</f>
        <v>0</v>
      </c>
      <c r="C7516" s="647">
        <f t="shared" si="95"/>
        <v>7511</v>
      </c>
      <c r="D7516" s="5" t="s">
        <v>788</v>
      </c>
    </row>
    <row r="7517" spans="1:4" x14ac:dyDescent="0.2">
      <c r="A7517">
        <v>7512</v>
      </c>
      <c r="B7517" s="15">
        <f>'EstExp 12-20'!G378</f>
        <v>0</v>
      </c>
      <c r="C7517" s="647">
        <f t="shared" si="95"/>
        <v>7512</v>
      </c>
      <c r="D7517" s="5" t="s">
        <v>788</v>
      </c>
    </row>
    <row r="7518" spans="1:4" x14ac:dyDescent="0.2">
      <c r="A7518">
        <v>7513</v>
      </c>
      <c r="B7518" s="15">
        <f>'EstExp 12-20'!G380</f>
        <v>0</v>
      </c>
      <c r="C7518" s="647">
        <f t="shared" si="95"/>
        <v>7513</v>
      </c>
      <c r="D7518" s="5" t="s">
        <v>788</v>
      </c>
    </row>
    <row r="7519" spans="1:4" x14ac:dyDescent="0.2">
      <c r="A7519">
        <v>7514</v>
      </c>
      <c r="B7519" s="15">
        <f>'EstExp 12-20'!G381</f>
        <v>0</v>
      </c>
      <c r="C7519" s="647">
        <f t="shared" si="95"/>
        <v>7514</v>
      </c>
      <c r="D7519" s="5" t="s">
        <v>788</v>
      </c>
    </row>
    <row r="7520" spans="1:4" x14ac:dyDescent="0.2">
      <c r="A7520">
        <v>7515</v>
      </c>
      <c r="B7520" s="15">
        <f>'EstExp 12-20'!G382</f>
        <v>0</v>
      </c>
      <c r="C7520" s="647">
        <f t="shared" si="95"/>
        <v>7515</v>
      </c>
      <c r="D7520" s="5" t="s">
        <v>788</v>
      </c>
    </row>
    <row r="7521" spans="1:4" x14ac:dyDescent="0.2">
      <c r="A7521">
        <v>7516</v>
      </c>
      <c r="B7521" s="15">
        <f>'EstExp 12-20'!G383</f>
        <v>0</v>
      </c>
      <c r="C7521" s="647">
        <f t="shared" si="95"/>
        <v>7516</v>
      </c>
      <c r="D7521" s="5" t="s">
        <v>788</v>
      </c>
    </row>
    <row r="7522" spans="1:4" x14ac:dyDescent="0.2">
      <c r="A7522">
        <v>7517</v>
      </c>
      <c r="B7522" s="15">
        <f>'EstExp 12-20'!G384</f>
        <v>0</v>
      </c>
      <c r="C7522" s="647">
        <f t="shared" si="95"/>
        <v>7517</v>
      </c>
      <c r="D7522" s="5" t="s">
        <v>788</v>
      </c>
    </row>
    <row r="7523" spans="1:4" x14ac:dyDescent="0.2">
      <c r="A7523">
        <v>7518</v>
      </c>
      <c r="B7523" s="15">
        <f>'EstExp 12-20'!G385</f>
        <v>0</v>
      </c>
      <c r="C7523" s="647">
        <f t="shared" si="95"/>
        <v>7518</v>
      </c>
      <c r="D7523" s="5" t="s">
        <v>788</v>
      </c>
    </row>
    <row r="7524" spans="1:4" x14ac:dyDescent="0.2">
      <c r="A7524">
        <v>7519</v>
      </c>
      <c r="B7524" s="15">
        <f>'EstExp 12-20'!G386</f>
        <v>0</v>
      </c>
      <c r="C7524" s="647">
        <f t="shared" si="95"/>
        <v>7519</v>
      </c>
      <c r="D7524" s="5" t="s">
        <v>788</v>
      </c>
    </row>
    <row r="7525" spans="1:4" x14ac:dyDescent="0.2">
      <c r="A7525">
        <v>7520</v>
      </c>
      <c r="B7525" s="15">
        <f>'EstExp 12-20'!G387</f>
        <v>0</v>
      </c>
      <c r="C7525" s="647">
        <f t="shared" si="95"/>
        <v>7520</v>
      </c>
      <c r="D7525" s="5" t="s">
        <v>788</v>
      </c>
    </row>
    <row r="7526" spans="1:4" x14ac:dyDescent="0.2">
      <c r="A7526">
        <v>7521</v>
      </c>
      <c r="B7526" s="15">
        <f>'EstExp 12-20'!G388</f>
        <v>0</v>
      </c>
      <c r="C7526" s="647">
        <f t="shared" si="95"/>
        <v>7521</v>
      </c>
      <c r="D7526" s="5" t="s">
        <v>788</v>
      </c>
    </row>
    <row r="7527" spans="1:4" x14ac:dyDescent="0.2">
      <c r="A7527">
        <v>7522</v>
      </c>
      <c r="B7527" s="15">
        <f>'EstExp 12-20'!H316</f>
        <v>0</v>
      </c>
      <c r="C7527" s="647">
        <f t="shared" si="95"/>
        <v>7522</v>
      </c>
      <c r="D7527" s="5" t="s">
        <v>788</v>
      </c>
    </row>
    <row r="7528" spans="1:4" x14ac:dyDescent="0.2">
      <c r="A7528">
        <v>7523</v>
      </c>
      <c r="B7528" s="15">
        <f>'EstExp 12-20'!H318</f>
        <v>0</v>
      </c>
      <c r="C7528" s="647">
        <f t="shared" si="95"/>
        <v>7523</v>
      </c>
      <c r="D7528" s="5" t="s">
        <v>788</v>
      </c>
    </row>
    <row r="7529" spans="1:4" x14ac:dyDescent="0.2">
      <c r="A7529">
        <v>7524</v>
      </c>
      <c r="B7529" s="15">
        <f>'EstExp 12-20'!H319</f>
        <v>0</v>
      </c>
      <c r="C7529" s="647">
        <f t="shared" si="95"/>
        <v>7524</v>
      </c>
      <c r="D7529" s="5" t="s">
        <v>788</v>
      </c>
    </row>
    <row r="7530" spans="1:4" x14ac:dyDescent="0.2">
      <c r="A7530">
        <v>7525</v>
      </c>
      <c r="B7530" s="15">
        <f>'EstExp 12-20'!H320</f>
        <v>0</v>
      </c>
      <c r="C7530" s="647">
        <f t="shared" si="95"/>
        <v>7525</v>
      </c>
      <c r="D7530" s="5" t="s">
        <v>788</v>
      </c>
    </row>
    <row r="7531" spans="1:4" x14ac:dyDescent="0.2">
      <c r="A7531">
        <v>7526</v>
      </c>
      <c r="B7531" s="15">
        <f>'EstExp 12-20'!H321</f>
        <v>0</v>
      </c>
      <c r="C7531" s="647">
        <f t="shared" si="95"/>
        <v>7526</v>
      </c>
      <c r="D7531" s="5" t="s">
        <v>788</v>
      </c>
    </row>
    <row r="7532" spans="1:4" x14ac:dyDescent="0.2">
      <c r="A7532">
        <v>7527</v>
      </c>
      <c r="B7532" s="15">
        <f>'EstExp 12-20'!H322</f>
        <v>0</v>
      </c>
      <c r="C7532" s="647">
        <f t="shared" si="95"/>
        <v>7527</v>
      </c>
      <c r="D7532" s="5" t="s">
        <v>788</v>
      </c>
    </row>
    <row r="7533" spans="1:4" x14ac:dyDescent="0.2">
      <c r="A7533">
        <v>7528</v>
      </c>
      <c r="B7533" s="15">
        <f>'EstExp 12-20'!H323</f>
        <v>0</v>
      </c>
      <c r="C7533" s="647">
        <f t="shared" si="95"/>
        <v>7528</v>
      </c>
      <c r="D7533" s="5" t="s">
        <v>788</v>
      </c>
    </row>
    <row r="7534" spans="1:4" x14ac:dyDescent="0.2">
      <c r="A7534">
        <v>7529</v>
      </c>
      <c r="B7534" s="15">
        <f>'EstExp 12-20'!H324</f>
        <v>0</v>
      </c>
      <c r="C7534" s="647">
        <f t="shared" si="95"/>
        <v>7529</v>
      </c>
      <c r="D7534" s="5" t="s">
        <v>788</v>
      </c>
    </row>
    <row r="7535" spans="1:4" x14ac:dyDescent="0.2">
      <c r="A7535">
        <v>7530</v>
      </c>
      <c r="B7535" s="15">
        <f>'EstExp 12-20'!H325</f>
        <v>0</v>
      </c>
      <c r="C7535" s="647">
        <f t="shared" si="95"/>
        <v>7530</v>
      </c>
      <c r="D7535" s="5" t="s">
        <v>788</v>
      </c>
    </row>
    <row r="7536" spans="1:4" x14ac:dyDescent="0.2">
      <c r="A7536">
        <v>7531</v>
      </c>
      <c r="B7536" s="15">
        <f>'EstExp 12-20'!H326</f>
        <v>0</v>
      </c>
      <c r="C7536" s="647">
        <f t="shared" si="95"/>
        <v>7531</v>
      </c>
      <c r="D7536" s="5" t="s">
        <v>788</v>
      </c>
    </row>
    <row r="7537" spans="1:4" x14ac:dyDescent="0.2">
      <c r="A7537">
        <v>7532</v>
      </c>
      <c r="B7537" s="15">
        <f>'EstExp 12-20'!H327</f>
        <v>0</v>
      </c>
      <c r="C7537" s="647">
        <f t="shared" si="95"/>
        <v>7532</v>
      </c>
      <c r="D7537" s="5" t="s">
        <v>788</v>
      </c>
    </row>
    <row r="7538" spans="1:4" x14ac:dyDescent="0.2">
      <c r="A7538">
        <v>7533</v>
      </c>
      <c r="B7538" s="15">
        <f>'EstExp 12-20'!H328</f>
        <v>0</v>
      </c>
      <c r="C7538" s="647">
        <f t="shared" si="95"/>
        <v>7533</v>
      </c>
      <c r="D7538" s="5" t="s">
        <v>788</v>
      </c>
    </row>
    <row r="7539" spans="1:4" x14ac:dyDescent="0.2">
      <c r="A7539">
        <v>7534</v>
      </c>
      <c r="B7539" s="15">
        <f>'EstExp 12-20'!H329</f>
        <v>0</v>
      </c>
      <c r="C7539" s="647">
        <f t="shared" si="95"/>
        <v>7534</v>
      </c>
      <c r="D7539" s="5" t="s">
        <v>788</v>
      </c>
    </row>
    <row r="7540" spans="1:4" x14ac:dyDescent="0.2">
      <c r="A7540">
        <v>7535</v>
      </c>
      <c r="B7540" s="15">
        <f>'EstExp 12-20'!H330</f>
        <v>0</v>
      </c>
      <c r="C7540" s="647">
        <f t="shared" si="95"/>
        <v>7535</v>
      </c>
      <c r="D7540" s="5" t="s">
        <v>788</v>
      </c>
    </row>
    <row r="7541" spans="1:4" x14ac:dyDescent="0.2">
      <c r="A7541">
        <v>7536</v>
      </c>
      <c r="B7541" s="15">
        <f>'EstExp 12-20'!H344</f>
        <v>0</v>
      </c>
      <c r="C7541" s="647">
        <f t="shared" si="95"/>
        <v>7536</v>
      </c>
      <c r="D7541" s="5" t="s">
        <v>788</v>
      </c>
    </row>
    <row r="7542" spans="1:4" x14ac:dyDescent="0.2">
      <c r="A7542">
        <v>7537</v>
      </c>
      <c r="B7542" s="15">
        <f>'EstExp 12-20'!H347</f>
        <v>0</v>
      </c>
      <c r="C7542" s="647">
        <f t="shared" si="95"/>
        <v>7537</v>
      </c>
      <c r="D7542" s="5" t="s">
        <v>788</v>
      </c>
    </row>
    <row r="7543" spans="1:4" x14ac:dyDescent="0.2">
      <c r="A7543">
        <v>7538</v>
      </c>
      <c r="B7543" s="15">
        <f>'EstExp 12-20'!H348</f>
        <v>0</v>
      </c>
      <c r="C7543" s="647">
        <f t="shared" si="95"/>
        <v>7538</v>
      </c>
      <c r="D7543" s="5" t="s">
        <v>788</v>
      </c>
    </row>
    <row r="7544" spans="1:4" x14ac:dyDescent="0.2">
      <c r="A7544">
        <v>7539</v>
      </c>
      <c r="B7544" s="15">
        <f>'EstExp 12-20'!H349</f>
        <v>0</v>
      </c>
      <c r="C7544" s="647">
        <f t="shared" si="95"/>
        <v>7539</v>
      </c>
      <c r="D7544" s="5" t="s">
        <v>788</v>
      </c>
    </row>
    <row r="7545" spans="1:4" x14ac:dyDescent="0.2">
      <c r="A7545">
        <v>7540</v>
      </c>
      <c r="B7545" s="15">
        <f>'EstExp 12-20'!H350</f>
        <v>0</v>
      </c>
      <c r="C7545" s="647">
        <f t="shared" si="95"/>
        <v>7540</v>
      </c>
      <c r="D7545" s="5" t="s">
        <v>788</v>
      </c>
    </row>
    <row r="7546" spans="1:4" x14ac:dyDescent="0.2">
      <c r="A7546">
        <v>7541</v>
      </c>
      <c r="B7546" s="15">
        <f>'EstExp 12-20'!H351</f>
        <v>0</v>
      </c>
      <c r="C7546" s="647">
        <f t="shared" si="95"/>
        <v>7541</v>
      </c>
      <c r="D7546" s="5" t="s">
        <v>788</v>
      </c>
    </row>
    <row r="7547" spans="1:4" x14ac:dyDescent="0.2">
      <c r="A7547">
        <v>7542</v>
      </c>
      <c r="B7547" s="15">
        <f>'EstExp 12-20'!H352</f>
        <v>0</v>
      </c>
      <c r="C7547" s="647">
        <f t="shared" si="95"/>
        <v>7542</v>
      </c>
      <c r="D7547" s="5" t="s">
        <v>788</v>
      </c>
    </row>
    <row r="7548" spans="1:4" x14ac:dyDescent="0.2">
      <c r="A7548">
        <v>7543</v>
      </c>
      <c r="B7548" s="15">
        <f>'EstExp 12-20'!H353</f>
        <v>0</v>
      </c>
      <c r="C7548" s="647">
        <f t="shared" si="95"/>
        <v>7543</v>
      </c>
      <c r="D7548" s="5" t="s">
        <v>788</v>
      </c>
    </row>
    <row r="7549" spans="1:4" x14ac:dyDescent="0.2">
      <c r="A7549">
        <v>7544</v>
      </c>
      <c r="B7549" s="15">
        <f>'EstExp 12-20'!H356</f>
        <v>0</v>
      </c>
      <c r="C7549" s="647">
        <f t="shared" si="95"/>
        <v>7544</v>
      </c>
      <c r="D7549" s="5" t="s">
        <v>788</v>
      </c>
    </row>
    <row r="7550" spans="1:4" x14ac:dyDescent="0.2">
      <c r="A7550">
        <v>7545</v>
      </c>
      <c r="B7550" s="15">
        <f>'EstExp 12-20'!H357</f>
        <v>0</v>
      </c>
      <c r="C7550" s="647">
        <f t="shared" si="95"/>
        <v>7545</v>
      </c>
      <c r="D7550" s="5" t="s">
        <v>788</v>
      </c>
    </row>
    <row r="7551" spans="1:4" x14ac:dyDescent="0.2">
      <c r="A7551">
        <v>7546</v>
      </c>
      <c r="B7551" s="15">
        <f>'EstExp 12-20'!H358</f>
        <v>0</v>
      </c>
      <c r="C7551" s="647">
        <f t="shared" si="95"/>
        <v>7546</v>
      </c>
      <c r="D7551" s="5" t="s">
        <v>788</v>
      </c>
    </row>
    <row r="7552" spans="1:4" x14ac:dyDescent="0.2">
      <c r="A7552">
        <v>7547</v>
      </c>
      <c r="B7552" s="15">
        <f>'EstExp 12-20'!H360</f>
        <v>0</v>
      </c>
      <c r="C7552" s="647">
        <f t="shared" si="95"/>
        <v>7547</v>
      </c>
      <c r="D7552" s="5" t="s">
        <v>788</v>
      </c>
    </row>
    <row r="7553" spans="1:4" x14ac:dyDescent="0.2">
      <c r="A7553">
        <v>7548</v>
      </c>
      <c r="B7553" s="15">
        <f>'EstExp 12-20'!H361</f>
        <v>0</v>
      </c>
      <c r="C7553" s="647">
        <f t="shared" si="95"/>
        <v>7548</v>
      </c>
      <c r="D7553" s="5" t="s">
        <v>788</v>
      </c>
    </row>
    <row r="7554" spans="1:4" x14ac:dyDescent="0.2">
      <c r="A7554">
        <v>7549</v>
      </c>
      <c r="B7554" s="15">
        <f>'EstExp 12-20'!H362</f>
        <v>0</v>
      </c>
      <c r="C7554" s="647">
        <f t="shared" si="95"/>
        <v>7549</v>
      </c>
      <c r="D7554" s="5" t="s">
        <v>788</v>
      </c>
    </row>
    <row r="7555" spans="1:4" x14ac:dyDescent="0.2">
      <c r="A7555">
        <v>7550</v>
      </c>
      <c r="B7555" s="15">
        <f>'EstExp 12-20'!H367</f>
        <v>0</v>
      </c>
      <c r="C7555" s="647">
        <f t="shared" si="95"/>
        <v>7550</v>
      </c>
      <c r="D7555" s="5" t="s">
        <v>788</v>
      </c>
    </row>
    <row r="7556" spans="1:4" x14ac:dyDescent="0.2">
      <c r="A7556">
        <v>7551</v>
      </c>
      <c r="B7556" s="15">
        <f>'EstExp 12-20'!H368</f>
        <v>0</v>
      </c>
      <c r="C7556" s="647">
        <f t="shared" ref="C7556:C7619" si="96">A7556-B7556</f>
        <v>7551</v>
      </c>
      <c r="D7556" s="5" t="s">
        <v>788</v>
      </c>
    </row>
    <row r="7557" spans="1:4" x14ac:dyDescent="0.2">
      <c r="A7557">
        <v>7552</v>
      </c>
      <c r="B7557" s="15">
        <f>'EstExp 12-20'!H369</f>
        <v>0</v>
      </c>
      <c r="C7557" s="647">
        <f t="shared" si="96"/>
        <v>7552</v>
      </c>
      <c r="D7557" s="5" t="s">
        <v>788</v>
      </c>
    </row>
    <row r="7558" spans="1:4" x14ac:dyDescent="0.2">
      <c r="A7558">
        <v>7553</v>
      </c>
      <c r="B7558" s="15">
        <f>'EstExp 12-20'!H371</f>
        <v>0</v>
      </c>
      <c r="C7558" s="647">
        <f t="shared" si="96"/>
        <v>7553</v>
      </c>
      <c r="D7558" s="5" t="s">
        <v>788</v>
      </c>
    </row>
    <row r="7559" spans="1:4" x14ac:dyDescent="0.2">
      <c r="A7559">
        <v>7554</v>
      </c>
      <c r="B7559" s="15">
        <f>'EstExp 12-20'!H372</f>
        <v>0</v>
      </c>
      <c r="C7559" s="647">
        <f t="shared" si="96"/>
        <v>7554</v>
      </c>
      <c r="D7559" s="5" t="s">
        <v>788</v>
      </c>
    </row>
    <row r="7560" spans="1:4" x14ac:dyDescent="0.2">
      <c r="A7560">
        <v>7555</v>
      </c>
      <c r="B7560" s="15">
        <f>'EstExp 12-20'!H374</f>
        <v>0</v>
      </c>
      <c r="C7560" s="647">
        <f t="shared" si="96"/>
        <v>7555</v>
      </c>
      <c r="D7560" s="5" t="s">
        <v>788</v>
      </c>
    </row>
    <row r="7561" spans="1:4" x14ac:dyDescent="0.2">
      <c r="A7561">
        <v>7556</v>
      </c>
      <c r="B7561" s="15">
        <f>'EstExp 12-20'!H375</f>
        <v>0</v>
      </c>
      <c r="C7561" s="647">
        <f t="shared" si="96"/>
        <v>7556</v>
      </c>
      <c r="D7561" s="5" t="s">
        <v>788</v>
      </c>
    </row>
    <row r="7562" spans="1:4" x14ac:dyDescent="0.2">
      <c r="A7562">
        <v>7557</v>
      </c>
      <c r="B7562" s="15">
        <f>'EstExp 12-20'!H376</f>
        <v>0</v>
      </c>
      <c r="C7562" s="647">
        <f t="shared" si="96"/>
        <v>7557</v>
      </c>
      <c r="D7562" s="5" t="s">
        <v>788</v>
      </c>
    </row>
    <row r="7563" spans="1:4" x14ac:dyDescent="0.2">
      <c r="A7563">
        <v>7558</v>
      </c>
      <c r="B7563" s="15">
        <f>'EstExp 12-20'!H377</f>
        <v>0</v>
      </c>
      <c r="C7563" s="647">
        <f t="shared" si="96"/>
        <v>7558</v>
      </c>
      <c r="D7563" s="5" t="s">
        <v>788</v>
      </c>
    </row>
    <row r="7564" spans="1:4" x14ac:dyDescent="0.2">
      <c r="A7564">
        <v>7559</v>
      </c>
      <c r="B7564" s="15">
        <f>'EstExp 12-20'!H378</f>
        <v>0</v>
      </c>
      <c r="C7564" s="647">
        <f t="shared" si="96"/>
        <v>7559</v>
      </c>
      <c r="D7564" s="5" t="s">
        <v>788</v>
      </c>
    </row>
    <row r="7565" spans="1:4" x14ac:dyDescent="0.2">
      <c r="A7565">
        <v>7560</v>
      </c>
      <c r="B7565" s="15">
        <f>'EstExp 12-20'!H380</f>
        <v>0</v>
      </c>
      <c r="C7565" s="647">
        <f t="shared" si="96"/>
        <v>7560</v>
      </c>
      <c r="D7565" s="5" t="s">
        <v>788</v>
      </c>
    </row>
    <row r="7566" spans="1:4" x14ac:dyDescent="0.2">
      <c r="A7566">
        <v>7561</v>
      </c>
      <c r="B7566" s="15">
        <f>'EstExp 12-20'!H381</f>
        <v>0</v>
      </c>
      <c r="C7566" s="647">
        <f t="shared" si="96"/>
        <v>7561</v>
      </c>
      <c r="D7566" s="5" t="s">
        <v>788</v>
      </c>
    </row>
    <row r="7567" spans="1:4" x14ac:dyDescent="0.2">
      <c r="A7567">
        <v>7562</v>
      </c>
      <c r="B7567" s="15">
        <f>'EstExp 12-20'!H382</f>
        <v>0</v>
      </c>
      <c r="C7567" s="647">
        <f t="shared" si="96"/>
        <v>7562</v>
      </c>
      <c r="D7567" s="5" t="s">
        <v>788</v>
      </c>
    </row>
    <row r="7568" spans="1:4" x14ac:dyDescent="0.2">
      <c r="A7568">
        <v>7563</v>
      </c>
      <c r="B7568" s="15">
        <f>'EstExp 12-20'!H383</f>
        <v>0</v>
      </c>
      <c r="C7568" s="647">
        <f t="shared" si="96"/>
        <v>7563</v>
      </c>
      <c r="D7568" s="5" t="s">
        <v>788</v>
      </c>
    </row>
    <row r="7569" spans="1:4" x14ac:dyDescent="0.2">
      <c r="A7569">
        <v>7564</v>
      </c>
      <c r="B7569" s="15">
        <f>'EstExp 12-20'!H384</f>
        <v>0</v>
      </c>
      <c r="C7569" s="647">
        <f t="shared" si="96"/>
        <v>7564</v>
      </c>
      <c r="D7569" s="5" t="s">
        <v>788</v>
      </c>
    </row>
    <row r="7570" spans="1:4" x14ac:dyDescent="0.2">
      <c r="A7570">
        <v>7565</v>
      </c>
      <c r="B7570" s="15">
        <f>'EstExp 12-20'!H385</f>
        <v>0</v>
      </c>
      <c r="C7570" s="647">
        <f t="shared" si="96"/>
        <v>7565</v>
      </c>
      <c r="D7570" s="5" t="s">
        <v>788</v>
      </c>
    </row>
    <row r="7571" spans="1:4" x14ac:dyDescent="0.2">
      <c r="A7571">
        <v>7566</v>
      </c>
      <c r="B7571" s="15">
        <f>'EstExp 12-20'!H386</f>
        <v>0</v>
      </c>
      <c r="C7571" s="647">
        <f t="shared" si="96"/>
        <v>7566</v>
      </c>
      <c r="D7571" s="5" t="s">
        <v>788</v>
      </c>
    </row>
    <row r="7572" spans="1:4" x14ac:dyDescent="0.2">
      <c r="A7572">
        <v>7567</v>
      </c>
      <c r="B7572" s="15">
        <f>'EstExp 12-20'!H387</f>
        <v>0</v>
      </c>
      <c r="C7572" s="647">
        <f t="shared" si="96"/>
        <v>7567</v>
      </c>
      <c r="D7572" s="5" t="s">
        <v>788</v>
      </c>
    </row>
    <row r="7573" spans="1:4" x14ac:dyDescent="0.2">
      <c r="A7573">
        <v>7568</v>
      </c>
      <c r="B7573" s="15">
        <f>'EstExp 12-20'!H388</f>
        <v>0</v>
      </c>
      <c r="C7573" s="647">
        <f t="shared" si="96"/>
        <v>7568</v>
      </c>
      <c r="D7573" s="5" t="s">
        <v>788</v>
      </c>
    </row>
    <row r="7574" spans="1:4" x14ac:dyDescent="0.2">
      <c r="A7574">
        <v>7569</v>
      </c>
      <c r="B7574" s="15">
        <f>'EstExp 12-20'!I316</f>
        <v>0</v>
      </c>
      <c r="C7574" s="647">
        <f t="shared" si="96"/>
        <v>7569</v>
      </c>
      <c r="D7574" s="5" t="s">
        <v>788</v>
      </c>
    </row>
    <row r="7575" spans="1:4" x14ac:dyDescent="0.2">
      <c r="A7575">
        <v>7570</v>
      </c>
      <c r="B7575" s="15">
        <f>'EstExp 12-20'!I318</f>
        <v>0</v>
      </c>
      <c r="C7575" s="647">
        <f t="shared" si="96"/>
        <v>7570</v>
      </c>
      <c r="D7575" s="5" t="s">
        <v>788</v>
      </c>
    </row>
    <row r="7576" spans="1:4" x14ac:dyDescent="0.2">
      <c r="A7576">
        <v>7571</v>
      </c>
      <c r="B7576" s="15">
        <f>'EstExp 12-20'!I319</f>
        <v>0</v>
      </c>
      <c r="C7576" s="647">
        <f t="shared" si="96"/>
        <v>7571</v>
      </c>
      <c r="D7576" s="5" t="s">
        <v>788</v>
      </c>
    </row>
    <row r="7577" spans="1:4" x14ac:dyDescent="0.2">
      <c r="A7577">
        <v>7572</v>
      </c>
      <c r="B7577" s="15">
        <f>'EstExp 12-20'!I320</f>
        <v>0</v>
      </c>
      <c r="C7577" s="647">
        <f t="shared" si="96"/>
        <v>7572</v>
      </c>
      <c r="D7577" s="5" t="s">
        <v>788</v>
      </c>
    </row>
    <row r="7578" spans="1:4" x14ac:dyDescent="0.2">
      <c r="A7578">
        <v>7573</v>
      </c>
      <c r="B7578" s="15">
        <f>'EstExp 12-20'!I321</f>
        <v>0</v>
      </c>
      <c r="C7578" s="647">
        <f t="shared" si="96"/>
        <v>7573</v>
      </c>
      <c r="D7578" s="5" t="s">
        <v>788</v>
      </c>
    </row>
    <row r="7579" spans="1:4" x14ac:dyDescent="0.2">
      <c r="A7579">
        <v>7574</v>
      </c>
      <c r="B7579" s="15">
        <f>'EstExp 12-20'!I322</f>
        <v>0</v>
      </c>
      <c r="C7579" s="647">
        <f t="shared" si="96"/>
        <v>7574</v>
      </c>
      <c r="D7579" s="5" t="s">
        <v>788</v>
      </c>
    </row>
    <row r="7580" spans="1:4" x14ac:dyDescent="0.2">
      <c r="A7580">
        <v>7575</v>
      </c>
      <c r="B7580" s="15">
        <f>'EstExp 12-20'!I323</f>
        <v>0</v>
      </c>
      <c r="C7580" s="647">
        <f t="shared" si="96"/>
        <v>7575</v>
      </c>
      <c r="D7580" s="5" t="s">
        <v>788</v>
      </c>
    </row>
    <row r="7581" spans="1:4" x14ac:dyDescent="0.2">
      <c r="A7581">
        <v>7576</v>
      </c>
      <c r="B7581" s="15">
        <f>'EstExp 12-20'!I324</f>
        <v>0</v>
      </c>
      <c r="C7581" s="647">
        <f t="shared" si="96"/>
        <v>7576</v>
      </c>
      <c r="D7581" s="5" t="s">
        <v>788</v>
      </c>
    </row>
    <row r="7582" spans="1:4" x14ac:dyDescent="0.2">
      <c r="A7582">
        <v>7577</v>
      </c>
      <c r="B7582" s="15">
        <f>'EstExp 12-20'!I325</f>
        <v>0</v>
      </c>
      <c r="C7582" s="647">
        <f t="shared" si="96"/>
        <v>7577</v>
      </c>
      <c r="D7582" s="5" t="s">
        <v>788</v>
      </c>
    </row>
    <row r="7583" spans="1:4" x14ac:dyDescent="0.2">
      <c r="A7583">
        <v>7578</v>
      </c>
      <c r="B7583" s="15">
        <f>'EstExp 12-20'!I326</f>
        <v>0</v>
      </c>
      <c r="C7583" s="647">
        <f t="shared" si="96"/>
        <v>7578</v>
      </c>
      <c r="D7583" s="5" t="s">
        <v>788</v>
      </c>
    </row>
    <row r="7584" spans="1:4" x14ac:dyDescent="0.2">
      <c r="A7584">
        <v>7579</v>
      </c>
      <c r="B7584" s="15">
        <f>'EstExp 12-20'!I327</f>
        <v>0</v>
      </c>
      <c r="C7584" s="647">
        <f t="shared" si="96"/>
        <v>7579</v>
      </c>
      <c r="D7584" s="5" t="s">
        <v>788</v>
      </c>
    </row>
    <row r="7585" spans="1:4" x14ac:dyDescent="0.2">
      <c r="A7585">
        <v>7580</v>
      </c>
      <c r="B7585" s="15">
        <f>'EstExp 12-20'!I328</f>
        <v>0</v>
      </c>
      <c r="C7585" s="647">
        <f t="shared" si="96"/>
        <v>7580</v>
      </c>
      <c r="D7585" s="5" t="s">
        <v>788</v>
      </c>
    </row>
    <row r="7586" spans="1:4" x14ac:dyDescent="0.2">
      <c r="A7586">
        <v>7581</v>
      </c>
      <c r="B7586" s="15">
        <f>'EstExp 12-20'!I329</f>
        <v>0</v>
      </c>
      <c r="C7586" s="647">
        <f t="shared" si="96"/>
        <v>7581</v>
      </c>
      <c r="D7586" s="5" t="s">
        <v>788</v>
      </c>
    </row>
    <row r="7587" spans="1:4" x14ac:dyDescent="0.2">
      <c r="A7587">
        <v>7582</v>
      </c>
      <c r="B7587" s="15">
        <f>'EstExp 12-20'!I330</f>
        <v>0</v>
      </c>
      <c r="C7587" s="647">
        <f t="shared" si="96"/>
        <v>7582</v>
      </c>
      <c r="D7587" s="5" t="s">
        <v>788</v>
      </c>
    </row>
    <row r="7588" spans="1:4" x14ac:dyDescent="0.2">
      <c r="A7588">
        <v>7583</v>
      </c>
      <c r="B7588" s="15">
        <f>'EstExp 12-20'!I331</f>
        <v>0</v>
      </c>
      <c r="C7588" s="647">
        <f t="shared" si="96"/>
        <v>7583</v>
      </c>
      <c r="D7588" s="5" t="s">
        <v>788</v>
      </c>
    </row>
    <row r="7589" spans="1:4" x14ac:dyDescent="0.2">
      <c r="A7589">
        <v>7584</v>
      </c>
      <c r="B7589" s="15">
        <f>'EstExp 12-20'!I332</f>
        <v>0</v>
      </c>
      <c r="C7589" s="647">
        <f t="shared" si="96"/>
        <v>7584</v>
      </c>
      <c r="D7589" s="5" t="s">
        <v>788</v>
      </c>
    </row>
    <row r="7590" spans="1:4" x14ac:dyDescent="0.2">
      <c r="A7590">
        <v>7585</v>
      </c>
      <c r="B7590" s="15">
        <f>'EstExp 12-20'!I333</f>
        <v>0</v>
      </c>
      <c r="C7590" s="647">
        <f t="shared" si="96"/>
        <v>7585</v>
      </c>
      <c r="D7590" s="5" t="s">
        <v>788</v>
      </c>
    </row>
    <row r="7591" spans="1:4" x14ac:dyDescent="0.2">
      <c r="A7591">
        <v>7586</v>
      </c>
      <c r="B7591" s="15">
        <f>'EstExp 12-20'!I334</f>
        <v>0</v>
      </c>
      <c r="C7591" s="647">
        <f t="shared" si="96"/>
        <v>7586</v>
      </c>
      <c r="D7591" s="5" t="s">
        <v>788</v>
      </c>
    </row>
    <row r="7592" spans="1:4" x14ac:dyDescent="0.2">
      <c r="A7592">
        <v>7587</v>
      </c>
      <c r="B7592" s="15">
        <f>'EstExp 12-20'!I335</f>
        <v>0</v>
      </c>
      <c r="C7592" s="647">
        <f t="shared" si="96"/>
        <v>7587</v>
      </c>
      <c r="D7592" s="5" t="s">
        <v>788</v>
      </c>
    </row>
    <row r="7593" spans="1:4" x14ac:dyDescent="0.2">
      <c r="A7593">
        <v>7588</v>
      </c>
      <c r="B7593" s="15">
        <f>'EstExp 12-20'!I336</f>
        <v>0</v>
      </c>
      <c r="C7593" s="647">
        <f t="shared" si="96"/>
        <v>7588</v>
      </c>
      <c r="D7593" s="5" t="s">
        <v>788</v>
      </c>
    </row>
    <row r="7594" spans="1:4" x14ac:dyDescent="0.2">
      <c r="A7594">
        <v>7589</v>
      </c>
      <c r="B7594" s="15">
        <f>'EstExp 12-20'!I337</f>
        <v>0</v>
      </c>
      <c r="C7594" s="647">
        <f t="shared" si="96"/>
        <v>7589</v>
      </c>
      <c r="D7594" s="5" t="s">
        <v>788</v>
      </c>
    </row>
    <row r="7595" spans="1:4" x14ac:dyDescent="0.2">
      <c r="A7595">
        <v>7590</v>
      </c>
      <c r="B7595" s="15">
        <f>'EstExp 12-20'!I338</f>
        <v>0</v>
      </c>
      <c r="C7595" s="647">
        <f t="shared" si="96"/>
        <v>7590</v>
      </c>
      <c r="D7595" s="5" t="s">
        <v>788</v>
      </c>
    </row>
    <row r="7596" spans="1:4" x14ac:dyDescent="0.2">
      <c r="A7596">
        <v>7591</v>
      </c>
      <c r="B7596" s="15">
        <f>'EstExp 12-20'!I339</f>
        <v>0</v>
      </c>
      <c r="C7596" s="647">
        <f t="shared" si="96"/>
        <v>7591</v>
      </c>
      <c r="D7596" s="5" t="s">
        <v>788</v>
      </c>
    </row>
    <row r="7597" spans="1:4" x14ac:dyDescent="0.2">
      <c r="A7597">
        <v>7592</v>
      </c>
      <c r="B7597" s="15">
        <f>'EstExp 12-20'!I340</f>
        <v>0</v>
      </c>
      <c r="C7597" s="647">
        <f t="shared" si="96"/>
        <v>7592</v>
      </c>
      <c r="D7597" s="5" t="s">
        <v>788</v>
      </c>
    </row>
    <row r="7598" spans="1:4" x14ac:dyDescent="0.2">
      <c r="A7598">
        <v>7593</v>
      </c>
      <c r="B7598" s="15">
        <f>'EstExp 12-20'!I341</f>
        <v>0</v>
      </c>
      <c r="C7598" s="647">
        <f t="shared" si="96"/>
        <v>7593</v>
      </c>
      <c r="D7598" s="5" t="s">
        <v>788</v>
      </c>
    </row>
    <row r="7599" spans="1:4" x14ac:dyDescent="0.2">
      <c r="A7599">
        <v>7594</v>
      </c>
      <c r="B7599" s="15">
        <f>'EstExp 12-20'!I342</f>
        <v>0</v>
      </c>
      <c r="C7599" s="647">
        <f t="shared" si="96"/>
        <v>7594</v>
      </c>
      <c r="D7599" s="5" t="s">
        <v>788</v>
      </c>
    </row>
    <row r="7600" spans="1:4" x14ac:dyDescent="0.2">
      <c r="A7600">
        <v>7595</v>
      </c>
      <c r="B7600" s="15">
        <f>'EstExp 12-20'!I343</f>
        <v>0</v>
      </c>
      <c r="C7600" s="647">
        <f t="shared" si="96"/>
        <v>7595</v>
      </c>
      <c r="D7600" s="5" t="s">
        <v>788</v>
      </c>
    </row>
    <row r="7601" spans="1:4" x14ac:dyDescent="0.2">
      <c r="A7601">
        <v>7596</v>
      </c>
      <c r="B7601" s="15">
        <f>'EstExp 12-20'!I344</f>
        <v>0</v>
      </c>
      <c r="C7601" s="647">
        <f t="shared" si="96"/>
        <v>7596</v>
      </c>
      <c r="D7601" s="5" t="s">
        <v>788</v>
      </c>
    </row>
    <row r="7602" spans="1:4" x14ac:dyDescent="0.2">
      <c r="A7602">
        <v>7597</v>
      </c>
      <c r="B7602" s="15">
        <f>'EstExp 12-20'!I347</f>
        <v>0</v>
      </c>
      <c r="C7602" s="647">
        <f t="shared" si="96"/>
        <v>7597</v>
      </c>
      <c r="D7602" s="5" t="s">
        <v>788</v>
      </c>
    </row>
    <row r="7603" spans="1:4" x14ac:dyDescent="0.2">
      <c r="A7603">
        <v>7598</v>
      </c>
      <c r="B7603" s="15">
        <f>'EstExp 12-20'!I348</f>
        <v>0</v>
      </c>
      <c r="C7603" s="647">
        <f t="shared" si="96"/>
        <v>7598</v>
      </c>
      <c r="D7603" s="5" t="s">
        <v>788</v>
      </c>
    </row>
    <row r="7604" spans="1:4" x14ac:dyDescent="0.2">
      <c r="A7604">
        <v>7599</v>
      </c>
      <c r="B7604" s="15">
        <f>'EstExp 12-20'!I349</f>
        <v>0</v>
      </c>
      <c r="C7604" s="647">
        <f t="shared" si="96"/>
        <v>7599</v>
      </c>
      <c r="D7604" s="5" t="s">
        <v>788</v>
      </c>
    </row>
    <row r="7605" spans="1:4" x14ac:dyDescent="0.2">
      <c r="A7605">
        <v>7600</v>
      </c>
      <c r="B7605" s="15">
        <f>'EstExp 12-20'!I350</f>
        <v>0</v>
      </c>
      <c r="C7605" s="647">
        <f t="shared" si="96"/>
        <v>7600</v>
      </c>
      <c r="D7605" s="5" t="s">
        <v>788</v>
      </c>
    </row>
    <row r="7606" spans="1:4" x14ac:dyDescent="0.2">
      <c r="A7606">
        <v>7601</v>
      </c>
      <c r="B7606" s="15">
        <f>'EstExp 12-20'!I351</f>
        <v>0</v>
      </c>
      <c r="C7606" s="647">
        <f t="shared" si="96"/>
        <v>7601</v>
      </c>
      <c r="D7606" s="5" t="s">
        <v>788</v>
      </c>
    </row>
    <row r="7607" spans="1:4" x14ac:dyDescent="0.2">
      <c r="A7607">
        <v>7602</v>
      </c>
      <c r="B7607" s="15">
        <f>'EstExp 12-20'!I352</f>
        <v>0</v>
      </c>
      <c r="C7607" s="647">
        <f t="shared" si="96"/>
        <v>7602</v>
      </c>
      <c r="D7607" s="5" t="s">
        <v>788</v>
      </c>
    </row>
    <row r="7608" spans="1:4" x14ac:dyDescent="0.2">
      <c r="A7608">
        <v>7603</v>
      </c>
      <c r="B7608" s="15">
        <f>'EstExp 12-20'!I353</f>
        <v>0</v>
      </c>
      <c r="C7608" s="647">
        <f t="shared" si="96"/>
        <v>7603</v>
      </c>
      <c r="D7608" s="5" t="s">
        <v>788</v>
      </c>
    </row>
    <row r="7609" spans="1:4" x14ac:dyDescent="0.2">
      <c r="A7609">
        <v>7604</v>
      </c>
      <c r="B7609" s="15">
        <f>'EstExp 12-20'!I355</f>
        <v>0</v>
      </c>
      <c r="C7609" s="647">
        <f t="shared" si="96"/>
        <v>7604</v>
      </c>
      <c r="D7609" s="5" t="s">
        <v>788</v>
      </c>
    </row>
    <row r="7610" spans="1:4" x14ac:dyDescent="0.2">
      <c r="A7610">
        <v>7605</v>
      </c>
      <c r="B7610" s="15">
        <f>'EstExp 12-20'!I356</f>
        <v>0</v>
      </c>
      <c r="C7610" s="647">
        <f t="shared" si="96"/>
        <v>7605</v>
      </c>
      <c r="D7610" s="5" t="s">
        <v>788</v>
      </c>
    </row>
    <row r="7611" spans="1:4" x14ac:dyDescent="0.2">
      <c r="A7611">
        <v>7606</v>
      </c>
      <c r="B7611" s="15">
        <f>'EstExp 12-20'!I357</f>
        <v>0</v>
      </c>
      <c r="C7611" s="647">
        <f t="shared" si="96"/>
        <v>7606</v>
      </c>
      <c r="D7611" s="5" t="s">
        <v>788</v>
      </c>
    </row>
    <row r="7612" spans="1:4" x14ac:dyDescent="0.2">
      <c r="A7612">
        <v>7607</v>
      </c>
      <c r="B7612" s="15">
        <f>'EstExp 12-20'!I358</f>
        <v>0</v>
      </c>
      <c r="C7612" s="647">
        <f t="shared" si="96"/>
        <v>7607</v>
      </c>
      <c r="D7612" s="5" t="s">
        <v>788</v>
      </c>
    </row>
    <row r="7613" spans="1:4" x14ac:dyDescent="0.2">
      <c r="A7613">
        <v>7608</v>
      </c>
      <c r="B7613" s="15">
        <f>'EstExp 12-20'!I360</f>
        <v>0</v>
      </c>
      <c r="C7613" s="647">
        <f t="shared" si="96"/>
        <v>7608</v>
      </c>
      <c r="D7613" s="5" t="s">
        <v>788</v>
      </c>
    </row>
    <row r="7614" spans="1:4" x14ac:dyDescent="0.2">
      <c r="A7614">
        <v>7609</v>
      </c>
      <c r="B7614" s="15">
        <f>'EstExp 12-20'!I361</f>
        <v>0</v>
      </c>
      <c r="C7614" s="647">
        <f t="shared" si="96"/>
        <v>7609</v>
      </c>
      <c r="D7614" s="5" t="s">
        <v>788</v>
      </c>
    </row>
    <row r="7615" spans="1:4" x14ac:dyDescent="0.2">
      <c r="A7615">
        <v>7610</v>
      </c>
      <c r="B7615" s="15">
        <f>'EstExp 12-20'!I362</f>
        <v>0</v>
      </c>
      <c r="C7615" s="647">
        <f t="shared" si="96"/>
        <v>7610</v>
      </c>
      <c r="D7615" s="5" t="s">
        <v>788</v>
      </c>
    </row>
    <row r="7616" spans="1:4" x14ac:dyDescent="0.2">
      <c r="A7616">
        <v>7611</v>
      </c>
      <c r="B7616" s="15">
        <f>'EstExp 12-20'!I367</f>
        <v>0</v>
      </c>
      <c r="C7616" s="647">
        <f t="shared" si="96"/>
        <v>7611</v>
      </c>
      <c r="D7616" s="5" t="s">
        <v>788</v>
      </c>
    </row>
    <row r="7617" spans="1:4" x14ac:dyDescent="0.2">
      <c r="A7617">
        <v>7612</v>
      </c>
      <c r="B7617" s="15">
        <f>'EstExp 12-20'!I368</f>
        <v>0</v>
      </c>
      <c r="C7617" s="647">
        <f t="shared" si="96"/>
        <v>7612</v>
      </c>
      <c r="D7617" s="5" t="s">
        <v>788</v>
      </c>
    </row>
    <row r="7618" spans="1:4" x14ac:dyDescent="0.2">
      <c r="A7618">
        <v>7613</v>
      </c>
      <c r="B7618" s="15">
        <f>'EstExp 12-20'!I369</f>
        <v>0</v>
      </c>
      <c r="C7618" s="647">
        <f t="shared" si="96"/>
        <v>7613</v>
      </c>
      <c r="D7618" s="5" t="s">
        <v>788</v>
      </c>
    </row>
    <row r="7619" spans="1:4" x14ac:dyDescent="0.2">
      <c r="A7619">
        <v>7614</v>
      </c>
      <c r="B7619" s="15">
        <f>'EstExp 12-20'!I371</f>
        <v>0</v>
      </c>
      <c r="C7619" s="647">
        <f t="shared" si="96"/>
        <v>7614</v>
      </c>
      <c r="D7619" s="5" t="s">
        <v>788</v>
      </c>
    </row>
    <row r="7620" spans="1:4" x14ac:dyDescent="0.2">
      <c r="A7620">
        <v>7615</v>
      </c>
      <c r="B7620" s="15">
        <f>'EstExp 12-20'!I372</f>
        <v>0</v>
      </c>
      <c r="C7620" s="647">
        <f t="shared" ref="C7620:C7683" si="97">A7620-B7620</f>
        <v>7615</v>
      </c>
      <c r="D7620" s="5" t="s">
        <v>788</v>
      </c>
    </row>
    <row r="7621" spans="1:4" x14ac:dyDescent="0.2">
      <c r="A7621">
        <v>7616</v>
      </c>
      <c r="B7621" s="15">
        <f>'EstExp 12-20'!I374</f>
        <v>0</v>
      </c>
      <c r="C7621" s="647">
        <f t="shared" si="97"/>
        <v>7616</v>
      </c>
      <c r="D7621" s="5" t="s">
        <v>788</v>
      </c>
    </row>
    <row r="7622" spans="1:4" x14ac:dyDescent="0.2">
      <c r="A7622">
        <v>7617</v>
      </c>
      <c r="B7622" s="15">
        <f>'EstExp 12-20'!I375</f>
        <v>0</v>
      </c>
      <c r="C7622" s="647">
        <f t="shared" si="97"/>
        <v>7617</v>
      </c>
      <c r="D7622" s="5" t="s">
        <v>788</v>
      </c>
    </row>
    <row r="7623" spans="1:4" x14ac:dyDescent="0.2">
      <c r="A7623">
        <v>7618</v>
      </c>
      <c r="B7623" s="15">
        <f>'EstExp 12-20'!I376</f>
        <v>0</v>
      </c>
      <c r="C7623" s="647">
        <f t="shared" si="97"/>
        <v>7618</v>
      </c>
      <c r="D7623" s="5" t="s">
        <v>788</v>
      </c>
    </row>
    <row r="7624" spans="1:4" x14ac:dyDescent="0.2">
      <c r="A7624">
        <v>7619</v>
      </c>
      <c r="B7624" s="15">
        <f>'EstExp 12-20'!I377</f>
        <v>0</v>
      </c>
      <c r="C7624" s="647">
        <f t="shared" si="97"/>
        <v>7619</v>
      </c>
      <c r="D7624" s="5" t="s">
        <v>788</v>
      </c>
    </row>
    <row r="7625" spans="1:4" x14ac:dyDescent="0.2">
      <c r="A7625">
        <v>7620</v>
      </c>
      <c r="B7625" s="15">
        <f>'EstExp 12-20'!I378</f>
        <v>0</v>
      </c>
      <c r="C7625" s="647">
        <f t="shared" si="97"/>
        <v>7620</v>
      </c>
      <c r="D7625" s="5" t="s">
        <v>788</v>
      </c>
    </row>
    <row r="7626" spans="1:4" x14ac:dyDescent="0.2">
      <c r="A7626">
        <v>7621</v>
      </c>
      <c r="B7626" s="15">
        <f>'EstExp 12-20'!I380</f>
        <v>0</v>
      </c>
      <c r="C7626" s="647">
        <f t="shared" si="97"/>
        <v>7621</v>
      </c>
      <c r="D7626" s="5" t="s">
        <v>788</v>
      </c>
    </row>
    <row r="7627" spans="1:4" x14ac:dyDescent="0.2">
      <c r="A7627">
        <v>7622</v>
      </c>
      <c r="B7627" s="15">
        <f>'EstExp 12-20'!I381</f>
        <v>0</v>
      </c>
      <c r="C7627" s="647">
        <f t="shared" si="97"/>
        <v>7622</v>
      </c>
      <c r="D7627" s="5" t="s">
        <v>788</v>
      </c>
    </row>
    <row r="7628" spans="1:4" x14ac:dyDescent="0.2">
      <c r="A7628">
        <v>7623</v>
      </c>
      <c r="B7628" s="15">
        <f>'EstExp 12-20'!I382</f>
        <v>0</v>
      </c>
      <c r="C7628" s="647">
        <f t="shared" si="97"/>
        <v>7623</v>
      </c>
      <c r="D7628" s="5" t="s">
        <v>788</v>
      </c>
    </row>
    <row r="7629" spans="1:4" x14ac:dyDescent="0.2">
      <c r="A7629">
        <v>7624</v>
      </c>
      <c r="B7629" s="15">
        <f>'EstExp 12-20'!I383</f>
        <v>0</v>
      </c>
      <c r="C7629" s="647">
        <f t="shared" si="97"/>
        <v>7624</v>
      </c>
      <c r="D7629" s="5" t="s">
        <v>788</v>
      </c>
    </row>
    <row r="7630" spans="1:4" x14ac:dyDescent="0.2">
      <c r="A7630">
        <v>7625</v>
      </c>
      <c r="B7630" s="15">
        <f>'EstExp 12-20'!I384</f>
        <v>0</v>
      </c>
      <c r="C7630" s="647">
        <f t="shared" si="97"/>
        <v>7625</v>
      </c>
      <c r="D7630" s="5" t="s">
        <v>788</v>
      </c>
    </row>
    <row r="7631" spans="1:4" x14ac:dyDescent="0.2">
      <c r="A7631">
        <v>7626</v>
      </c>
      <c r="B7631" s="15">
        <f>'EstExp 12-20'!I385</f>
        <v>0</v>
      </c>
      <c r="C7631" s="647">
        <f t="shared" si="97"/>
        <v>7626</v>
      </c>
      <c r="D7631" s="5" t="s">
        <v>788</v>
      </c>
    </row>
    <row r="7632" spans="1:4" x14ac:dyDescent="0.2">
      <c r="A7632">
        <v>7627</v>
      </c>
      <c r="B7632" s="15">
        <f>'EstExp 12-20'!I386</f>
        <v>0</v>
      </c>
      <c r="C7632" s="647">
        <f t="shared" si="97"/>
        <v>7627</v>
      </c>
      <c r="D7632" s="5" t="s">
        <v>788</v>
      </c>
    </row>
    <row r="7633" spans="1:4" x14ac:dyDescent="0.2">
      <c r="A7633">
        <v>7628</v>
      </c>
      <c r="B7633" s="15">
        <f>'EstExp 12-20'!I387</f>
        <v>0</v>
      </c>
      <c r="C7633" s="647">
        <f t="shared" si="97"/>
        <v>7628</v>
      </c>
      <c r="D7633" s="5" t="s">
        <v>788</v>
      </c>
    </row>
    <row r="7634" spans="1:4" x14ac:dyDescent="0.2">
      <c r="A7634">
        <v>7629</v>
      </c>
      <c r="B7634" s="15">
        <f>'EstExp 12-20'!I388</f>
        <v>0</v>
      </c>
      <c r="C7634" s="647">
        <f t="shared" si="97"/>
        <v>7629</v>
      </c>
      <c r="D7634" s="5" t="s">
        <v>788</v>
      </c>
    </row>
    <row r="7635" spans="1:4" x14ac:dyDescent="0.2">
      <c r="A7635">
        <v>7630</v>
      </c>
      <c r="B7635" s="15">
        <f>'EstExp 12-20'!I393</f>
        <v>0</v>
      </c>
      <c r="C7635" s="647">
        <f t="shared" si="97"/>
        <v>7630</v>
      </c>
      <c r="D7635" s="5" t="s">
        <v>788</v>
      </c>
    </row>
    <row r="7636" spans="1:4" x14ac:dyDescent="0.2">
      <c r="A7636">
        <v>7631</v>
      </c>
      <c r="B7636" s="15">
        <f>'EstExp 12-20'!I394</f>
        <v>0</v>
      </c>
      <c r="C7636" s="647">
        <f t="shared" si="97"/>
        <v>7631</v>
      </c>
      <c r="D7636" s="5" t="s">
        <v>788</v>
      </c>
    </row>
    <row r="7637" spans="1:4" x14ac:dyDescent="0.2">
      <c r="A7637">
        <v>7632</v>
      </c>
      <c r="B7637" s="15">
        <f>'EstExp 12-20'!I395</f>
        <v>0</v>
      </c>
      <c r="C7637" s="647">
        <f t="shared" si="97"/>
        <v>7632</v>
      </c>
      <c r="D7637" s="5" t="s">
        <v>788</v>
      </c>
    </row>
    <row r="7638" spans="1:4" x14ac:dyDescent="0.2">
      <c r="A7638">
        <v>7633</v>
      </c>
      <c r="B7638" s="15">
        <f>'EstExp 12-20'!I396</f>
        <v>0</v>
      </c>
      <c r="C7638" s="647">
        <f t="shared" si="97"/>
        <v>7633</v>
      </c>
      <c r="D7638" s="5" t="s">
        <v>788</v>
      </c>
    </row>
    <row r="7639" spans="1:4" x14ac:dyDescent="0.2">
      <c r="A7639" s="3">
        <v>7634</v>
      </c>
      <c r="B7639" s="15"/>
      <c r="C7639" s="647"/>
      <c r="D7639" s="5" t="s">
        <v>807</v>
      </c>
    </row>
    <row r="7640" spans="1:4" x14ac:dyDescent="0.2">
      <c r="A7640">
        <v>7635</v>
      </c>
      <c r="B7640" s="15">
        <f>'EstExp 12-20'!I398</f>
        <v>0</v>
      </c>
      <c r="C7640" s="647">
        <f t="shared" si="97"/>
        <v>7635</v>
      </c>
      <c r="D7640" s="5" t="s">
        <v>788</v>
      </c>
    </row>
    <row r="7641" spans="1:4" x14ac:dyDescent="0.2">
      <c r="A7641">
        <v>7636</v>
      </c>
      <c r="B7641" s="15">
        <f>'EstExp 12-20'!I399</f>
        <v>0</v>
      </c>
      <c r="C7641" s="647">
        <f t="shared" si="97"/>
        <v>7636</v>
      </c>
      <c r="D7641" s="5" t="s">
        <v>788</v>
      </c>
    </row>
    <row r="7642" spans="1:4" x14ac:dyDescent="0.2">
      <c r="A7642">
        <v>7637</v>
      </c>
      <c r="B7642" s="15">
        <f>'EstExp 12-20'!I400</f>
        <v>0</v>
      </c>
      <c r="C7642" s="647">
        <f t="shared" si="97"/>
        <v>7637</v>
      </c>
      <c r="D7642" s="5" t="s">
        <v>788</v>
      </c>
    </row>
    <row r="7643" spans="1:4" x14ac:dyDescent="0.2">
      <c r="A7643">
        <v>7638</v>
      </c>
      <c r="B7643" s="15">
        <f>'EstExp 12-20'!I401</f>
        <v>0</v>
      </c>
      <c r="C7643" s="647">
        <f t="shared" si="97"/>
        <v>7638</v>
      </c>
      <c r="D7643" s="5" t="s">
        <v>788</v>
      </c>
    </row>
    <row r="7644" spans="1:4" x14ac:dyDescent="0.2">
      <c r="A7644">
        <v>7639</v>
      </c>
      <c r="B7644" s="15">
        <f>'EstExp 12-20'!I402</f>
        <v>0</v>
      </c>
      <c r="C7644" s="647">
        <f t="shared" si="97"/>
        <v>7639</v>
      </c>
      <c r="D7644" s="5" t="s">
        <v>788</v>
      </c>
    </row>
    <row r="7645" spans="1:4" x14ac:dyDescent="0.2">
      <c r="A7645">
        <v>7640</v>
      </c>
      <c r="B7645" s="15">
        <f>'EstExp 12-20'!I403</f>
        <v>0</v>
      </c>
      <c r="C7645" s="647">
        <f t="shared" si="97"/>
        <v>7640</v>
      </c>
      <c r="D7645" s="5" t="s">
        <v>788</v>
      </c>
    </row>
    <row r="7646" spans="1:4" x14ac:dyDescent="0.2">
      <c r="A7646">
        <v>7641</v>
      </c>
      <c r="B7646" s="15">
        <f>'EstExp 12-20'!I404</f>
        <v>0</v>
      </c>
      <c r="C7646" s="647">
        <f t="shared" si="97"/>
        <v>7641</v>
      </c>
      <c r="D7646" s="5" t="s">
        <v>788</v>
      </c>
    </row>
    <row r="7647" spans="1:4" x14ac:dyDescent="0.2">
      <c r="A7647">
        <v>7642</v>
      </c>
      <c r="B7647" s="15">
        <f>'EstExp 12-20'!I405</f>
        <v>0</v>
      </c>
      <c r="C7647" s="647">
        <f t="shared" si="97"/>
        <v>7642</v>
      </c>
      <c r="D7647" s="5" t="s">
        <v>788</v>
      </c>
    </row>
    <row r="7648" spans="1:4" x14ac:dyDescent="0.2">
      <c r="A7648">
        <v>7643</v>
      </c>
      <c r="B7648" s="15">
        <f>'EstExp 12-20'!I406</f>
        <v>0</v>
      </c>
      <c r="C7648" s="647">
        <f t="shared" si="97"/>
        <v>7643</v>
      </c>
      <c r="D7648" s="5" t="s">
        <v>788</v>
      </c>
    </row>
    <row r="7649" spans="1:4" x14ac:dyDescent="0.2">
      <c r="A7649">
        <v>7644</v>
      </c>
      <c r="B7649" s="15">
        <f>'EstExp 12-20'!I407</f>
        <v>0</v>
      </c>
      <c r="C7649" s="647">
        <f t="shared" si="97"/>
        <v>7644</v>
      </c>
      <c r="D7649" s="5" t="s">
        <v>788</v>
      </c>
    </row>
    <row r="7650" spans="1:4" x14ac:dyDescent="0.2">
      <c r="A7650">
        <v>7645</v>
      </c>
      <c r="B7650" s="15">
        <f>'EstExp 12-20'!I408</f>
        <v>0</v>
      </c>
      <c r="C7650" s="647">
        <f t="shared" si="97"/>
        <v>7645</v>
      </c>
      <c r="D7650" s="5" t="s">
        <v>788</v>
      </c>
    </row>
    <row r="7651" spans="1:4" x14ac:dyDescent="0.2">
      <c r="A7651">
        <v>7646</v>
      </c>
      <c r="B7651" s="15">
        <f>'EstExp 12-20'!I409</f>
        <v>0</v>
      </c>
      <c r="C7651" s="647">
        <f t="shared" si="97"/>
        <v>7646</v>
      </c>
      <c r="D7651" s="5" t="s">
        <v>788</v>
      </c>
    </row>
    <row r="7652" spans="1:4" x14ac:dyDescent="0.2">
      <c r="A7652">
        <v>7647</v>
      </c>
      <c r="B7652" s="15">
        <f>'EstExp 12-20'!I410</f>
        <v>0</v>
      </c>
      <c r="C7652" s="647">
        <f t="shared" si="97"/>
        <v>7647</v>
      </c>
      <c r="D7652" s="5" t="s">
        <v>788</v>
      </c>
    </row>
    <row r="7653" spans="1:4" x14ac:dyDescent="0.2">
      <c r="A7653">
        <v>7648</v>
      </c>
      <c r="B7653" s="15">
        <f>'EstExp 12-20'!I411</f>
        <v>0</v>
      </c>
      <c r="C7653" s="647">
        <f t="shared" si="97"/>
        <v>7648</v>
      </c>
      <c r="D7653" s="5" t="s">
        <v>788</v>
      </c>
    </row>
    <row r="7654" spans="1:4" x14ac:dyDescent="0.2">
      <c r="A7654">
        <v>7649</v>
      </c>
      <c r="B7654" s="15">
        <f>'EstExp 12-20'!I412</f>
        <v>0</v>
      </c>
      <c r="C7654" s="647">
        <f t="shared" si="97"/>
        <v>7649</v>
      </c>
      <c r="D7654" s="5" t="s">
        <v>788</v>
      </c>
    </row>
    <row r="7655" spans="1:4" x14ac:dyDescent="0.2">
      <c r="A7655">
        <v>7650</v>
      </c>
      <c r="B7655" s="15">
        <f>'EstExp 12-20'!I413</f>
        <v>0</v>
      </c>
      <c r="C7655" s="647">
        <f t="shared" si="97"/>
        <v>7650</v>
      </c>
      <c r="D7655" s="5" t="s">
        <v>788</v>
      </c>
    </row>
    <row r="7656" spans="1:4" x14ac:dyDescent="0.2">
      <c r="A7656">
        <v>7651</v>
      </c>
      <c r="B7656" s="15">
        <f>'EstExp 12-20'!I414</f>
        <v>0</v>
      </c>
      <c r="C7656" s="647">
        <f t="shared" si="97"/>
        <v>7651</v>
      </c>
      <c r="D7656" s="5" t="s">
        <v>788</v>
      </c>
    </row>
    <row r="7657" spans="1:4" x14ac:dyDescent="0.2">
      <c r="A7657">
        <v>7652</v>
      </c>
      <c r="B7657" s="15">
        <f>'EstExp 12-20'!J316</f>
        <v>0</v>
      </c>
      <c r="C7657" s="647">
        <f t="shared" si="97"/>
        <v>7652</v>
      </c>
      <c r="D7657" s="5" t="s">
        <v>788</v>
      </c>
    </row>
    <row r="7658" spans="1:4" x14ac:dyDescent="0.2">
      <c r="A7658">
        <v>7653</v>
      </c>
      <c r="B7658" s="15">
        <f>'EstExp 12-20'!J318</f>
        <v>0</v>
      </c>
      <c r="C7658" s="647">
        <f t="shared" si="97"/>
        <v>7653</v>
      </c>
      <c r="D7658" s="5" t="s">
        <v>788</v>
      </c>
    </row>
    <row r="7659" spans="1:4" x14ac:dyDescent="0.2">
      <c r="A7659">
        <v>7654</v>
      </c>
      <c r="B7659" s="15">
        <f>'EstExp 12-20'!J319</f>
        <v>0</v>
      </c>
      <c r="C7659" s="647">
        <f t="shared" si="97"/>
        <v>7654</v>
      </c>
      <c r="D7659" s="5" t="s">
        <v>788</v>
      </c>
    </row>
    <row r="7660" spans="1:4" x14ac:dyDescent="0.2">
      <c r="A7660">
        <v>7655</v>
      </c>
      <c r="B7660" s="15">
        <f>'EstExp 12-20'!J320</f>
        <v>0</v>
      </c>
      <c r="C7660" s="647">
        <f t="shared" si="97"/>
        <v>7655</v>
      </c>
      <c r="D7660" s="5" t="s">
        <v>788</v>
      </c>
    </row>
    <row r="7661" spans="1:4" x14ac:dyDescent="0.2">
      <c r="A7661">
        <v>7656</v>
      </c>
      <c r="B7661" s="15">
        <f>'EstExp 12-20'!J321</f>
        <v>0</v>
      </c>
      <c r="C7661" s="647">
        <f t="shared" si="97"/>
        <v>7656</v>
      </c>
      <c r="D7661" s="5" t="s">
        <v>788</v>
      </c>
    </row>
    <row r="7662" spans="1:4" x14ac:dyDescent="0.2">
      <c r="A7662">
        <v>7657</v>
      </c>
      <c r="B7662" s="15">
        <f>'EstExp 12-20'!J322</f>
        <v>0</v>
      </c>
      <c r="C7662" s="647">
        <f t="shared" si="97"/>
        <v>7657</v>
      </c>
      <c r="D7662" s="5" t="s">
        <v>788</v>
      </c>
    </row>
    <row r="7663" spans="1:4" x14ac:dyDescent="0.2">
      <c r="A7663">
        <v>7658</v>
      </c>
      <c r="B7663" s="15">
        <f>'EstExp 12-20'!J323</f>
        <v>0</v>
      </c>
      <c r="C7663" s="647">
        <f t="shared" si="97"/>
        <v>7658</v>
      </c>
      <c r="D7663" s="5" t="s">
        <v>788</v>
      </c>
    </row>
    <row r="7664" spans="1:4" x14ac:dyDescent="0.2">
      <c r="A7664">
        <v>7659</v>
      </c>
      <c r="B7664" s="15">
        <f>'EstExp 12-20'!J324</f>
        <v>0</v>
      </c>
      <c r="C7664" s="647">
        <f t="shared" si="97"/>
        <v>7659</v>
      </c>
      <c r="D7664" s="5" t="s">
        <v>788</v>
      </c>
    </row>
    <row r="7665" spans="1:4" x14ac:dyDescent="0.2">
      <c r="A7665">
        <v>7660</v>
      </c>
      <c r="B7665" s="15">
        <f>'EstExp 12-20'!J325</f>
        <v>0</v>
      </c>
      <c r="C7665" s="647">
        <f t="shared" si="97"/>
        <v>7660</v>
      </c>
      <c r="D7665" s="5" t="s">
        <v>788</v>
      </c>
    </row>
    <row r="7666" spans="1:4" x14ac:dyDescent="0.2">
      <c r="A7666">
        <v>7661</v>
      </c>
      <c r="B7666" s="15">
        <f>'EstExp 12-20'!J326</f>
        <v>0</v>
      </c>
      <c r="C7666" s="647">
        <f t="shared" si="97"/>
        <v>7661</v>
      </c>
      <c r="D7666" s="5" t="s">
        <v>788</v>
      </c>
    </row>
    <row r="7667" spans="1:4" x14ac:dyDescent="0.2">
      <c r="A7667">
        <v>7662</v>
      </c>
      <c r="B7667" s="15">
        <f>'EstExp 12-20'!J327</f>
        <v>0</v>
      </c>
      <c r="C7667" s="647">
        <f t="shared" si="97"/>
        <v>7662</v>
      </c>
      <c r="D7667" s="5" t="s">
        <v>788</v>
      </c>
    </row>
    <row r="7668" spans="1:4" x14ac:dyDescent="0.2">
      <c r="A7668">
        <v>7663</v>
      </c>
      <c r="B7668" s="15">
        <f>'EstExp 12-20'!J328</f>
        <v>0</v>
      </c>
      <c r="C7668" s="647">
        <f t="shared" si="97"/>
        <v>7663</v>
      </c>
      <c r="D7668" s="5" t="s">
        <v>788</v>
      </c>
    </row>
    <row r="7669" spans="1:4" x14ac:dyDescent="0.2">
      <c r="A7669">
        <v>7664</v>
      </c>
      <c r="B7669" s="15">
        <f>'EstExp 12-20'!J329</f>
        <v>0</v>
      </c>
      <c r="C7669" s="647">
        <f t="shared" si="97"/>
        <v>7664</v>
      </c>
      <c r="D7669" s="5" t="s">
        <v>788</v>
      </c>
    </row>
    <row r="7670" spans="1:4" x14ac:dyDescent="0.2">
      <c r="A7670">
        <v>7665</v>
      </c>
      <c r="B7670" s="15">
        <f>'EstExp 12-20'!J330</f>
        <v>0</v>
      </c>
      <c r="C7670" s="647">
        <f t="shared" si="97"/>
        <v>7665</v>
      </c>
      <c r="D7670" s="5" t="s">
        <v>788</v>
      </c>
    </row>
    <row r="7671" spans="1:4" x14ac:dyDescent="0.2">
      <c r="A7671">
        <v>7666</v>
      </c>
      <c r="B7671" s="15">
        <f>'EstExp 12-20'!J344</f>
        <v>0</v>
      </c>
      <c r="C7671" s="647">
        <f t="shared" si="97"/>
        <v>7666</v>
      </c>
      <c r="D7671" s="5" t="s">
        <v>788</v>
      </c>
    </row>
    <row r="7672" spans="1:4" x14ac:dyDescent="0.2">
      <c r="A7672">
        <v>7667</v>
      </c>
      <c r="B7672" s="15">
        <f>'EstExp 12-20'!J347</f>
        <v>0</v>
      </c>
      <c r="C7672" s="647">
        <f t="shared" si="97"/>
        <v>7667</v>
      </c>
      <c r="D7672" s="5" t="s">
        <v>788</v>
      </c>
    </row>
    <row r="7673" spans="1:4" x14ac:dyDescent="0.2">
      <c r="A7673">
        <v>7668</v>
      </c>
      <c r="B7673" s="15">
        <f>'EstExp 12-20'!J348</f>
        <v>0</v>
      </c>
      <c r="C7673" s="647">
        <f t="shared" si="97"/>
        <v>7668</v>
      </c>
      <c r="D7673" s="5" t="s">
        <v>788</v>
      </c>
    </row>
    <row r="7674" spans="1:4" x14ac:dyDescent="0.2">
      <c r="A7674">
        <v>7669</v>
      </c>
      <c r="B7674" s="15">
        <f>'EstExp 12-20'!J349</f>
        <v>0</v>
      </c>
      <c r="C7674" s="647">
        <f t="shared" si="97"/>
        <v>7669</v>
      </c>
      <c r="D7674" s="5" t="s">
        <v>788</v>
      </c>
    </row>
    <row r="7675" spans="1:4" x14ac:dyDescent="0.2">
      <c r="A7675">
        <v>7670</v>
      </c>
      <c r="B7675" s="15">
        <f>'EstExp 12-20'!J350</f>
        <v>0</v>
      </c>
      <c r="C7675" s="647">
        <f t="shared" si="97"/>
        <v>7670</v>
      </c>
      <c r="D7675" s="5" t="s">
        <v>788</v>
      </c>
    </row>
    <row r="7676" spans="1:4" x14ac:dyDescent="0.2">
      <c r="A7676">
        <v>7671</v>
      </c>
      <c r="B7676" s="15">
        <f>'EstExp 12-20'!J351</f>
        <v>0</v>
      </c>
      <c r="C7676" s="647">
        <f t="shared" si="97"/>
        <v>7671</v>
      </c>
      <c r="D7676" s="5" t="s">
        <v>788</v>
      </c>
    </row>
    <row r="7677" spans="1:4" x14ac:dyDescent="0.2">
      <c r="A7677">
        <v>7672</v>
      </c>
      <c r="B7677" s="15">
        <f>'EstExp 12-20'!J352</f>
        <v>0</v>
      </c>
      <c r="C7677" s="647">
        <f t="shared" si="97"/>
        <v>7672</v>
      </c>
      <c r="D7677" s="5" t="s">
        <v>788</v>
      </c>
    </row>
    <row r="7678" spans="1:4" x14ac:dyDescent="0.2">
      <c r="A7678">
        <v>7673</v>
      </c>
      <c r="B7678" s="15">
        <f>'EstExp 12-20'!J353</f>
        <v>0</v>
      </c>
      <c r="C7678" s="647">
        <f t="shared" si="97"/>
        <v>7673</v>
      </c>
      <c r="D7678" s="5" t="s">
        <v>788</v>
      </c>
    </row>
    <row r="7679" spans="1:4" x14ac:dyDescent="0.2">
      <c r="A7679">
        <v>7674</v>
      </c>
      <c r="B7679" s="15">
        <f>'EstExp 12-20'!J355</f>
        <v>0</v>
      </c>
      <c r="C7679" s="647">
        <f t="shared" si="97"/>
        <v>7674</v>
      </c>
      <c r="D7679" s="5" t="s">
        <v>788</v>
      </c>
    </row>
    <row r="7680" spans="1:4" x14ac:dyDescent="0.2">
      <c r="A7680">
        <v>7675</v>
      </c>
      <c r="B7680" s="15">
        <f>'EstExp 12-20'!J356</f>
        <v>0</v>
      </c>
      <c r="C7680" s="647">
        <f t="shared" si="97"/>
        <v>7675</v>
      </c>
      <c r="D7680" s="5" t="s">
        <v>788</v>
      </c>
    </row>
    <row r="7681" spans="1:4" x14ac:dyDescent="0.2">
      <c r="A7681">
        <v>7676</v>
      </c>
      <c r="B7681" s="15">
        <f>'EstExp 12-20'!J357</f>
        <v>0</v>
      </c>
      <c r="C7681" s="647">
        <f t="shared" si="97"/>
        <v>7676</v>
      </c>
      <c r="D7681" s="5" t="s">
        <v>788</v>
      </c>
    </row>
    <row r="7682" spans="1:4" x14ac:dyDescent="0.2">
      <c r="A7682">
        <v>7677</v>
      </c>
      <c r="B7682" s="15">
        <f>'EstExp 12-20'!J358</f>
        <v>0</v>
      </c>
      <c r="C7682" s="647">
        <f t="shared" si="97"/>
        <v>7677</v>
      </c>
      <c r="D7682" s="5" t="s">
        <v>788</v>
      </c>
    </row>
    <row r="7683" spans="1:4" x14ac:dyDescent="0.2">
      <c r="A7683">
        <v>7678</v>
      </c>
      <c r="B7683" s="15">
        <f>'EstExp 12-20'!J360</f>
        <v>0</v>
      </c>
      <c r="C7683" s="647">
        <f t="shared" si="97"/>
        <v>7678</v>
      </c>
      <c r="D7683" s="5" t="s">
        <v>788</v>
      </c>
    </row>
    <row r="7684" spans="1:4" x14ac:dyDescent="0.2">
      <c r="A7684">
        <v>7679</v>
      </c>
      <c r="B7684" s="15">
        <f>'EstExp 12-20'!J361</f>
        <v>0</v>
      </c>
      <c r="C7684" s="647">
        <f t="shared" ref="C7684:C7747" si="98">A7684-B7684</f>
        <v>7679</v>
      </c>
      <c r="D7684" s="5" t="s">
        <v>788</v>
      </c>
    </row>
    <row r="7685" spans="1:4" x14ac:dyDescent="0.2">
      <c r="A7685">
        <v>7680</v>
      </c>
      <c r="B7685" s="15">
        <f>'EstExp 12-20'!J362</f>
        <v>0</v>
      </c>
      <c r="C7685" s="647">
        <f t="shared" si="98"/>
        <v>7680</v>
      </c>
      <c r="D7685" s="5" t="s">
        <v>788</v>
      </c>
    </row>
    <row r="7686" spans="1:4" x14ac:dyDescent="0.2">
      <c r="A7686">
        <v>7681</v>
      </c>
      <c r="B7686" s="15">
        <f>'EstExp 12-20'!J367</f>
        <v>0</v>
      </c>
      <c r="C7686" s="647">
        <f t="shared" si="98"/>
        <v>7681</v>
      </c>
      <c r="D7686" s="5" t="s">
        <v>788</v>
      </c>
    </row>
    <row r="7687" spans="1:4" x14ac:dyDescent="0.2">
      <c r="A7687">
        <v>7682</v>
      </c>
      <c r="B7687" s="15">
        <f>'EstExp 12-20'!J368</f>
        <v>0</v>
      </c>
      <c r="C7687" s="647">
        <f t="shared" si="98"/>
        <v>7682</v>
      </c>
      <c r="D7687" s="5" t="s">
        <v>788</v>
      </c>
    </row>
    <row r="7688" spans="1:4" x14ac:dyDescent="0.2">
      <c r="A7688">
        <v>7683</v>
      </c>
      <c r="B7688" s="15">
        <f>'EstExp 12-20'!J369</f>
        <v>0</v>
      </c>
      <c r="C7688" s="647">
        <f t="shared" si="98"/>
        <v>7683</v>
      </c>
      <c r="D7688" s="5" t="s">
        <v>788</v>
      </c>
    </row>
    <row r="7689" spans="1:4" x14ac:dyDescent="0.2">
      <c r="A7689">
        <v>7684</v>
      </c>
      <c r="B7689" s="15">
        <f>'EstExp 12-20'!J371</f>
        <v>0</v>
      </c>
      <c r="C7689" s="647">
        <f t="shared" si="98"/>
        <v>7684</v>
      </c>
      <c r="D7689" s="5" t="s">
        <v>788</v>
      </c>
    </row>
    <row r="7690" spans="1:4" x14ac:dyDescent="0.2">
      <c r="A7690">
        <v>7685</v>
      </c>
      <c r="B7690" s="15">
        <f>'EstExp 12-20'!J372</f>
        <v>0</v>
      </c>
      <c r="C7690" s="647">
        <f t="shared" si="98"/>
        <v>7685</v>
      </c>
      <c r="D7690" s="5" t="s">
        <v>788</v>
      </c>
    </row>
    <row r="7691" spans="1:4" x14ac:dyDescent="0.2">
      <c r="A7691">
        <v>7686</v>
      </c>
      <c r="B7691" s="15">
        <f>'EstExp 12-20'!J374</f>
        <v>0</v>
      </c>
      <c r="C7691" s="647">
        <f t="shared" si="98"/>
        <v>7686</v>
      </c>
      <c r="D7691" s="5" t="s">
        <v>788</v>
      </c>
    </row>
    <row r="7692" spans="1:4" x14ac:dyDescent="0.2">
      <c r="A7692">
        <v>7687</v>
      </c>
      <c r="B7692" s="15">
        <f>'EstExp 12-20'!J375</f>
        <v>0</v>
      </c>
      <c r="C7692" s="647">
        <f t="shared" si="98"/>
        <v>7687</v>
      </c>
      <c r="D7692" s="5" t="s">
        <v>788</v>
      </c>
    </row>
    <row r="7693" spans="1:4" x14ac:dyDescent="0.2">
      <c r="A7693">
        <v>7688</v>
      </c>
      <c r="B7693" s="15">
        <f>'EstExp 12-20'!J376</f>
        <v>0</v>
      </c>
      <c r="C7693" s="647">
        <f t="shared" si="98"/>
        <v>7688</v>
      </c>
      <c r="D7693" s="5" t="s">
        <v>788</v>
      </c>
    </row>
    <row r="7694" spans="1:4" x14ac:dyDescent="0.2">
      <c r="A7694">
        <v>7689</v>
      </c>
      <c r="B7694" s="15">
        <f>'EstExp 12-20'!J377</f>
        <v>0</v>
      </c>
      <c r="C7694" s="647">
        <f t="shared" si="98"/>
        <v>7689</v>
      </c>
      <c r="D7694" s="5" t="s">
        <v>788</v>
      </c>
    </row>
    <row r="7695" spans="1:4" x14ac:dyDescent="0.2">
      <c r="A7695">
        <v>7690</v>
      </c>
      <c r="B7695" s="15">
        <f>'EstExp 12-20'!J378</f>
        <v>0</v>
      </c>
      <c r="C7695" s="647">
        <f t="shared" si="98"/>
        <v>7690</v>
      </c>
      <c r="D7695" s="5" t="s">
        <v>788</v>
      </c>
    </row>
    <row r="7696" spans="1:4" x14ac:dyDescent="0.2">
      <c r="A7696">
        <v>7691</v>
      </c>
      <c r="B7696" s="15">
        <f>'EstExp 12-20'!J380</f>
        <v>0</v>
      </c>
      <c r="C7696" s="647">
        <f t="shared" si="98"/>
        <v>7691</v>
      </c>
      <c r="D7696" s="5" t="s">
        <v>788</v>
      </c>
    </row>
    <row r="7697" spans="1:4" x14ac:dyDescent="0.2">
      <c r="A7697">
        <v>7692</v>
      </c>
      <c r="B7697" s="15">
        <f>'EstExp 12-20'!J381</f>
        <v>0</v>
      </c>
      <c r="C7697" s="647">
        <f t="shared" si="98"/>
        <v>7692</v>
      </c>
      <c r="D7697" s="5" t="s">
        <v>788</v>
      </c>
    </row>
    <row r="7698" spans="1:4" x14ac:dyDescent="0.2">
      <c r="A7698">
        <v>7693</v>
      </c>
      <c r="B7698" s="15">
        <f>'EstExp 12-20'!J382</f>
        <v>0</v>
      </c>
      <c r="C7698" s="647">
        <f t="shared" si="98"/>
        <v>7693</v>
      </c>
      <c r="D7698" s="5" t="s">
        <v>788</v>
      </c>
    </row>
    <row r="7699" spans="1:4" x14ac:dyDescent="0.2">
      <c r="A7699">
        <v>7694</v>
      </c>
      <c r="B7699" s="15">
        <f>'EstExp 12-20'!J383</f>
        <v>0</v>
      </c>
      <c r="C7699" s="647">
        <f t="shared" si="98"/>
        <v>7694</v>
      </c>
      <c r="D7699" s="5" t="s">
        <v>788</v>
      </c>
    </row>
    <row r="7700" spans="1:4" x14ac:dyDescent="0.2">
      <c r="A7700">
        <v>7695</v>
      </c>
      <c r="B7700" s="15">
        <f>'EstExp 12-20'!J384</f>
        <v>0</v>
      </c>
      <c r="C7700" s="647">
        <f t="shared" si="98"/>
        <v>7695</v>
      </c>
      <c r="D7700" s="5" t="s">
        <v>788</v>
      </c>
    </row>
    <row r="7701" spans="1:4" x14ac:dyDescent="0.2">
      <c r="A7701">
        <v>7696</v>
      </c>
      <c r="B7701" s="15">
        <f>'EstExp 12-20'!J385</f>
        <v>0</v>
      </c>
      <c r="C7701" s="647">
        <f t="shared" si="98"/>
        <v>7696</v>
      </c>
      <c r="D7701" s="5" t="s">
        <v>788</v>
      </c>
    </row>
    <row r="7702" spans="1:4" x14ac:dyDescent="0.2">
      <c r="A7702">
        <v>7697</v>
      </c>
      <c r="B7702" s="15">
        <f>'EstExp 12-20'!J386</f>
        <v>0</v>
      </c>
      <c r="C7702" s="647">
        <f t="shared" si="98"/>
        <v>7697</v>
      </c>
      <c r="D7702" s="5" t="s">
        <v>788</v>
      </c>
    </row>
    <row r="7703" spans="1:4" x14ac:dyDescent="0.2">
      <c r="A7703">
        <v>7698</v>
      </c>
      <c r="B7703" s="15">
        <f>'EstExp 12-20'!J387</f>
        <v>0</v>
      </c>
      <c r="C7703" s="647">
        <f t="shared" si="98"/>
        <v>7698</v>
      </c>
      <c r="D7703" s="5" t="s">
        <v>788</v>
      </c>
    </row>
    <row r="7704" spans="1:4" x14ac:dyDescent="0.2">
      <c r="A7704">
        <v>7699</v>
      </c>
      <c r="B7704" s="15">
        <f>'EstExp 12-20'!J388</f>
        <v>0</v>
      </c>
      <c r="C7704" s="647">
        <f t="shared" si="98"/>
        <v>7699</v>
      </c>
      <c r="D7704" s="5" t="s">
        <v>788</v>
      </c>
    </row>
    <row r="7705" spans="1:4" x14ac:dyDescent="0.2">
      <c r="A7705">
        <v>7700</v>
      </c>
      <c r="B7705" s="15">
        <f>'EstExp 12-20'!K316</f>
        <v>0</v>
      </c>
      <c r="C7705" s="647">
        <f t="shared" si="98"/>
        <v>7700</v>
      </c>
      <c r="D7705" s="5" t="s">
        <v>788</v>
      </c>
    </row>
    <row r="7706" spans="1:4" x14ac:dyDescent="0.2">
      <c r="A7706">
        <v>7701</v>
      </c>
      <c r="B7706" s="15">
        <f>'EstExp 12-20'!K318</f>
        <v>0</v>
      </c>
      <c r="C7706" s="647">
        <f t="shared" si="98"/>
        <v>7701</v>
      </c>
      <c r="D7706" s="5" t="s">
        <v>788</v>
      </c>
    </row>
    <row r="7707" spans="1:4" x14ac:dyDescent="0.2">
      <c r="A7707">
        <v>7702</v>
      </c>
      <c r="B7707" s="15">
        <f>'EstExp 12-20'!K319</f>
        <v>0</v>
      </c>
      <c r="C7707" s="647">
        <f t="shared" si="98"/>
        <v>7702</v>
      </c>
      <c r="D7707" s="5" t="s">
        <v>788</v>
      </c>
    </row>
    <row r="7708" spans="1:4" x14ac:dyDescent="0.2">
      <c r="A7708">
        <v>7703</v>
      </c>
      <c r="B7708" s="15">
        <f>'EstExp 12-20'!K320</f>
        <v>0</v>
      </c>
      <c r="C7708" s="647">
        <f t="shared" si="98"/>
        <v>7703</v>
      </c>
      <c r="D7708" s="5" t="s">
        <v>788</v>
      </c>
    </row>
    <row r="7709" spans="1:4" x14ac:dyDescent="0.2">
      <c r="A7709">
        <v>7704</v>
      </c>
      <c r="B7709" s="15">
        <f>'EstExp 12-20'!K321</f>
        <v>0</v>
      </c>
      <c r="C7709" s="647">
        <f t="shared" si="98"/>
        <v>7704</v>
      </c>
      <c r="D7709" s="5" t="s">
        <v>788</v>
      </c>
    </row>
    <row r="7710" spans="1:4" x14ac:dyDescent="0.2">
      <c r="A7710">
        <v>7705</v>
      </c>
      <c r="B7710" s="15">
        <f>'EstExp 12-20'!K322</f>
        <v>0</v>
      </c>
      <c r="C7710" s="647">
        <f t="shared" si="98"/>
        <v>7705</v>
      </c>
      <c r="D7710" s="5" t="s">
        <v>788</v>
      </c>
    </row>
    <row r="7711" spans="1:4" x14ac:dyDescent="0.2">
      <c r="A7711">
        <v>7706</v>
      </c>
      <c r="B7711" s="15">
        <f>'EstExp 12-20'!K323</f>
        <v>0</v>
      </c>
      <c r="C7711" s="647">
        <f t="shared" si="98"/>
        <v>7706</v>
      </c>
      <c r="D7711" s="5" t="s">
        <v>788</v>
      </c>
    </row>
    <row r="7712" spans="1:4" x14ac:dyDescent="0.2">
      <c r="A7712">
        <v>7707</v>
      </c>
      <c r="B7712" s="15">
        <f>'EstExp 12-20'!K324</f>
        <v>0</v>
      </c>
      <c r="C7712" s="647">
        <f t="shared" si="98"/>
        <v>7707</v>
      </c>
      <c r="D7712" s="5" t="s">
        <v>788</v>
      </c>
    </row>
    <row r="7713" spans="1:4" x14ac:dyDescent="0.2">
      <c r="A7713">
        <v>7708</v>
      </c>
      <c r="B7713" s="15">
        <f>'EstExp 12-20'!K325</f>
        <v>0</v>
      </c>
      <c r="C7713" s="647">
        <f t="shared" si="98"/>
        <v>7708</v>
      </c>
      <c r="D7713" s="5" t="s">
        <v>788</v>
      </c>
    </row>
    <row r="7714" spans="1:4" x14ac:dyDescent="0.2">
      <c r="A7714">
        <v>7709</v>
      </c>
      <c r="B7714" s="15">
        <f>'EstExp 12-20'!K326</f>
        <v>0</v>
      </c>
      <c r="C7714" s="647">
        <f t="shared" si="98"/>
        <v>7709</v>
      </c>
      <c r="D7714" s="5" t="s">
        <v>788</v>
      </c>
    </row>
    <row r="7715" spans="1:4" x14ac:dyDescent="0.2">
      <c r="A7715">
        <v>7710</v>
      </c>
      <c r="B7715" s="15">
        <f>'EstExp 12-20'!K327</f>
        <v>0</v>
      </c>
      <c r="C7715" s="647">
        <f t="shared" si="98"/>
        <v>7710</v>
      </c>
      <c r="D7715" s="5" t="s">
        <v>788</v>
      </c>
    </row>
    <row r="7716" spans="1:4" x14ac:dyDescent="0.2">
      <c r="A7716">
        <v>7711</v>
      </c>
      <c r="B7716" s="15">
        <f>'EstExp 12-20'!K328</f>
        <v>0</v>
      </c>
      <c r="C7716" s="647">
        <f t="shared" si="98"/>
        <v>7711</v>
      </c>
      <c r="D7716" s="5" t="s">
        <v>788</v>
      </c>
    </row>
    <row r="7717" spans="1:4" x14ac:dyDescent="0.2">
      <c r="A7717">
        <v>7712</v>
      </c>
      <c r="B7717" s="15">
        <f>'EstExp 12-20'!K329</f>
        <v>0</v>
      </c>
      <c r="C7717" s="647">
        <f t="shared" si="98"/>
        <v>7712</v>
      </c>
      <c r="D7717" s="5" t="s">
        <v>788</v>
      </c>
    </row>
    <row r="7718" spans="1:4" x14ac:dyDescent="0.2">
      <c r="A7718">
        <v>7713</v>
      </c>
      <c r="B7718" s="15">
        <f>'EstExp 12-20'!K330</f>
        <v>0</v>
      </c>
      <c r="C7718" s="647">
        <f t="shared" si="98"/>
        <v>7713</v>
      </c>
      <c r="D7718" s="5" t="s">
        <v>788</v>
      </c>
    </row>
    <row r="7719" spans="1:4" x14ac:dyDescent="0.2">
      <c r="A7719">
        <v>7714</v>
      </c>
      <c r="B7719" s="15">
        <f>'EstExp 12-20'!K344</f>
        <v>0</v>
      </c>
      <c r="C7719" s="647">
        <f t="shared" si="98"/>
        <v>7714</v>
      </c>
      <c r="D7719" s="5" t="s">
        <v>788</v>
      </c>
    </row>
    <row r="7720" spans="1:4" x14ac:dyDescent="0.2">
      <c r="A7720">
        <v>7715</v>
      </c>
      <c r="B7720" s="15">
        <f>'EstExp 12-20'!K347</f>
        <v>0</v>
      </c>
      <c r="C7720" s="647">
        <f t="shared" si="98"/>
        <v>7715</v>
      </c>
      <c r="D7720" s="5" t="s">
        <v>788</v>
      </c>
    </row>
    <row r="7721" spans="1:4" x14ac:dyDescent="0.2">
      <c r="A7721">
        <v>7716</v>
      </c>
      <c r="B7721" s="15">
        <f>'EstExp 12-20'!K348</f>
        <v>0</v>
      </c>
      <c r="C7721" s="647">
        <f t="shared" si="98"/>
        <v>7716</v>
      </c>
      <c r="D7721" s="5" t="s">
        <v>788</v>
      </c>
    </row>
    <row r="7722" spans="1:4" x14ac:dyDescent="0.2">
      <c r="A7722">
        <v>7717</v>
      </c>
      <c r="B7722" s="15">
        <f>'EstExp 12-20'!K349</f>
        <v>0</v>
      </c>
      <c r="C7722" s="647">
        <f t="shared" si="98"/>
        <v>7717</v>
      </c>
      <c r="D7722" s="5" t="s">
        <v>788</v>
      </c>
    </row>
    <row r="7723" spans="1:4" x14ac:dyDescent="0.2">
      <c r="A7723">
        <v>7718</v>
      </c>
      <c r="B7723" s="15">
        <f>'EstExp 12-20'!K350</f>
        <v>0</v>
      </c>
      <c r="C7723" s="647">
        <f t="shared" si="98"/>
        <v>7718</v>
      </c>
      <c r="D7723" s="5" t="s">
        <v>788</v>
      </c>
    </row>
    <row r="7724" spans="1:4" x14ac:dyDescent="0.2">
      <c r="A7724">
        <v>7719</v>
      </c>
      <c r="B7724" s="15">
        <f>'EstExp 12-20'!K351</f>
        <v>0</v>
      </c>
      <c r="C7724" s="647">
        <f t="shared" si="98"/>
        <v>7719</v>
      </c>
      <c r="D7724" s="5" t="s">
        <v>788</v>
      </c>
    </row>
    <row r="7725" spans="1:4" x14ac:dyDescent="0.2">
      <c r="A7725">
        <v>7720</v>
      </c>
      <c r="B7725" s="15">
        <f>'EstExp 12-20'!K352</f>
        <v>0</v>
      </c>
      <c r="C7725" s="647">
        <f t="shared" si="98"/>
        <v>7720</v>
      </c>
      <c r="D7725" s="5" t="s">
        <v>788</v>
      </c>
    </row>
    <row r="7726" spans="1:4" x14ac:dyDescent="0.2">
      <c r="A7726">
        <v>7721</v>
      </c>
      <c r="B7726" s="15">
        <f>'EstExp 12-20'!K353</f>
        <v>0</v>
      </c>
      <c r="C7726" s="647">
        <f t="shared" si="98"/>
        <v>7721</v>
      </c>
      <c r="D7726" s="5" t="s">
        <v>788</v>
      </c>
    </row>
    <row r="7727" spans="1:4" x14ac:dyDescent="0.2">
      <c r="A7727">
        <v>7722</v>
      </c>
      <c r="B7727" s="15">
        <f>'EstExp 12-20'!K355</f>
        <v>0</v>
      </c>
      <c r="C7727" s="647">
        <f t="shared" si="98"/>
        <v>7722</v>
      </c>
      <c r="D7727" s="5" t="s">
        <v>788</v>
      </c>
    </row>
    <row r="7728" spans="1:4" x14ac:dyDescent="0.2">
      <c r="A7728">
        <v>7723</v>
      </c>
      <c r="B7728" s="15">
        <f>'EstExp 12-20'!K356</f>
        <v>0</v>
      </c>
      <c r="C7728" s="647">
        <f t="shared" si="98"/>
        <v>7723</v>
      </c>
      <c r="D7728" s="5" t="s">
        <v>788</v>
      </c>
    </row>
    <row r="7729" spans="1:4" x14ac:dyDescent="0.2">
      <c r="A7729">
        <v>7724</v>
      </c>
      <c r="B7729" s="15">
        <f>'EstExp 12-20'!K357</f>
        <v>0</v>
      </c>
      <c r="C7729" s="647">
        <f t="shared" si="98"/>
        <v>7724</v>
      </c>
      <c r="D7729" s="5" t="s">
        <v>788</v>
      </c>
    </row>
    <row r="7730" spans="1:4" x14ac:dyDescent="0.2">
      <c r="A7730">
        <v>7725</v>
      </c>
      <c r="B7730" s="15">
        <f>'EstExp 12-20'!K358</f>
        <v>0</v>
      </c>
      <c r="C7730" s="647">
        <f t="shared" si="98"/>
        <v>7725</v>
      </c>
      <c r="D7730" s="5" t="s">
        <v>788</v>
      </c>
    </row>
    <row r="7731" spans="1:4" x14ac:dyDescent="0.2">
      <c r="A7731">
        <v>7726</v>
      </c>
      <c r="B7731" s="15">
        <f>'EstExp 12-20'!K360</f>
        <v>0</v>
      </c>
      <c r="C7731" s="647">
        <f t="shared" si="98"/>
        <v>7726</v>
      </c>
      <c r="D7731" s="5" t="s">
        <v>788</v>
      </c>
    </row>
    <row r="7732" spans="1:4" x14ac:dyDescent="0.2">
      <c r="A7732">
        <v>7727</v>
      </c>
      <c r="B7732" s="15">
        <f>'EstExp 12-20'!K361</f>
        <v>0</v>
      </c>
      <c r="C7732" s="647">
        <f t="shared" si="98"/>
        <v>7727</v>
      </c>
      <c r="D7732" s="5" t="s">
        <v>788</v>
      </c>
    </row>
    <row r="7733" spans="1:4" x14ac:dyDescent="0.2">
      <c r="A7733">
        <v>7728</v>
      </c>
      <c r="B7733" s="15">
        <f>'EstExp 12-20'!K362</f>
        <v>0</v>
      </c>
      <c r="C7733" s="647">
        <f t="shared" si="98"/>
        <v>7728</v>
      </c>
      <c r="D7733" s="5" t="s">
        <v>788</v>
      </c>
    </row>
    <row r="7734" spans="1:4" x14ac:dyDescent="0.2">
      <c r="A7734">
        <v>7729</v>
      </c>
      <c r="B7734" s="15">
        <f>'EstExp 12-20'!K367</f>
        <v>0</v>
      </c>
      <c r="C7734" s="647">
        <f t="shared" si="98"/>
        <v>7729</v>
      </c>
      <c r="D7734" s="5" t="s">
        <v>788</v>
      </c>
    </row>
    <row r="7735" spans="1:4" x14ac:dyDescent="0.2">
      <c r="A7735">
        <v>7730</v>
      </c>
      <c r="B7735" s="15">
        <f>'EstExp 12-20'!K368</f>
        <v>0</v>
      </c>
      <c r="C7735" s="647">
        <f t="shared" si="98"/>
        <v>7730</v>
      </c>
      <c r="D7735" s="5" t="s">
        <v>788</v>
      </c>
    </row>
    <row r="7736" spans="1:4" x14ac:dyDescent="0.2">
      <c r="A7736">
        <v>7731</v>
      </c>
      <c r="B7736" s="15">
        <f>'EstExp 12-20'!K369</f>
        <v>0</v>
      </c>
      <c r="C7736" s="647">
        <f t="shared" si="98"/>
        <v>7731</v>
      </c>
      <c r="D7736" s="5" t="s">
        <v>788</v>
      </c>
    </row>
    <row r="7737" spans="1:4" x14ac:dyDescent="0.2">
      <c r="A7737">
        <v>7732</v>
      </c>
      <c r="B7737" s="15">
        <f>'EstExp 12-20'!K371</f>
        <v>0</v>
      </c>
      <c r="C7737" s="647">
        <f t="shared" si="98"/>
        <v>7732</v>
      </c>
      <c r="D7737" s="5" t="s">
        <v>788</v>
      </c>
    </row>
    <row r="7738" spans="1:4" x14ac:dyDescent="0.2">
      <c r="A7738">
        <v>7733</v>
      </c>
      <c r="B7738" s="15">
        <f>'EstExp 12-20'!K372</f>
        <v>0</v>
      </c>
      <c r="C7738" s="647">
        <f t="shared" si="98"/>
        <v>7733</v>
      </c>
      <c r="D7738" s="5" t="s">
        <v>788</v>
      </c>
    </row>
    <row r="7739" spans="1:4" x14ac:dyDescent="0.2">
      <c r="A7739">
        <v>7734</v>
      </c>
      <c r="B7739" s="15">
        <f>'EstExp 12-20'!K374</f>
        <v>0</v>
      </c>
      <c r="C7739" s="647">
        <f t="shared" si="98"/>
        <v>7734</v>
      </c>
      <c r="D7739" s="5" t="s">
        <v>788</v>
      </c>
    </row>
    <row r="7740" spans="1:4" x14ac:dyDescent="0.2">
      <c r="A7740">
        <v>7735</v>
      </c>
      <c r="B7740" s="15">
        <f>'EstExp 12-20'!K375</f>
        <v>0</v>
      </c>
      <c r="C7740" s="647">
        <f t="shared" si="98"/>
        <v>7735</v>
      </c>
      <c r="D7740" s="5" t="s">
        <v>788</v>
      </c>
    </row>
    <row r="7741" spans="1:4" x14ac:dyDescent="0.2">
      <c r="A7741">
        <v>7736</v>
      </c>
      <c r="B7741" s="15">
        <f>'EstExp 12-20'!K376</f>
        <v>0</v>
      </c>
      <c r="C7741" s="647">
        <f t="shared" si="98"/>
        <v>7736</v>
      </c>
      <c r="D7741" s="5" t="s">
        <v>788</v>
      </c>
    </row>
    <row r="7742" spans="1:4" x14ac:dyDescent="0.2">
      <c r="A7742">
        <v>7737</v>
      </c>
      <c r="B7742" s="15">
        <f>'EstExp 12-20'!K377</f>
        <v>0</v>
      </c>
      <c r="C7742" s="647">
        <f t="shared" si="98"/>
        <v>7737</v>
      </c>
      <c r="D7742" s="5" t="s">
        <v>788</v>
      </c>
    </row>
    <row r="7743" spans="1:4" x14ac:dyDescent="0.2">
      <c r="A7743">
        <v>7738</v>
      </c>
      <c r="B7743" s="15">
        <f>'EstExp 12-20'!K378</f>
        <v>0</v>
      </c>
      <c r="C7743" s="647">
        <f t="shared" si="98"/>
        <v>7738</v>
      </c>
      <c r="D7743" s="5" t="s">
        <v>788</v>
      </c>
    </row>
    <row r="7744" spans="1:4" x14ac:dyDescent="0.2">
      <c r="A7744">
        <v>7739</v>
      </c>
      <c r="B7744" s="15">
        <f>'EstExp 12-20'!K380</f>
        <v>0</v>
      </c>
      <c r="C7744" s="647">
        <f t="shared" si="98"/>
        <v>7739</v>
      </c>
      <c r="D7744" s="5" t="s">
        <v>788</v>
      </c>
    </row>
    <row r="7745" spans="1:4" x14ac:dyDescent="0.2">
      <c r="A7745">
        <v>7740</v>
      </c>
      <c r="B7745" s="15">
        <f>'EstExp 12-20'!K381</f>
        <v>0</v>
      </c>
      <c r="C7745" s="647">
        <f t="shared" si="98"/>
        <v>7740</v>
      </c>
      <c r="D7745" s="5" t="s">
        <v>788</v>
      </c>
    </row>
    <row r="7746" spans="1:4" x14ac:dyDescent="0.2">
      <c r="A7746">
        <v>7741</v>
      </c>
      <c r="B7746" s="15">
        <f>'EstExp 12-20'!K382</f>
        <v>0</v>
      </c>
      <c r="C7746" s="647">
        <f t="shared" si="98"/>
        <v>7741</v>
      </c>
      <c r="D7746" s="5" t="s">
        <v>788</v>
      </c>
    </row>
    <row r="7747" spans="1:4" x14ac:dyDescent="0.2">
      <c r="A7747">
        <v>7742</v>
      </c>
      <c r="B7747" s="15">
        <f>'EstExp 12-20'!K383</f>
        <v>0</v>
      </c>
      <c r="C7747" s="647">
        <f t="shared" si="98"/>
        <v>7742</v>
      </c>
      <c r="D7747" s="5" t="s">
        <v>788</v>
      </c>
    </row>
    <row r="7748" spans="1:4" x14ac:dyDescent="0.2">
      <c r="A7748">
        <v>7743</v>
      </c>
      <c r="B7748" s="15">
        <f>'EstExp 12-20'!K384</f>
        <v>0</v>
      </c>
      <c r="C7748" s="647">
        <f t="shared" ref="C7748:C7811" si="99">A7748-B7748</f>
        <v>7743</v>
      </c>
      <c r="D7748" s="5" t="s">
        <v>788</v>
      </c>
    </row>
    <row r="7749" spans="1:4" x14ac:dyDescent="0.2">
      <c r="A7749">
        <v>7744</v>
      </c>
      <c r="B7749" s="15">
        <f>'EstExp 12-20'!K385</f>
        <v>0</v>
      </c>
      <c r="C7749" s="647">
        <f t="shared" si="99"/>
        <v>7744</v>
      </c>
      <c r="D7749" s="5" t="s">
        <v>788</v>
      </c>
    </row>
    <row r="7750" spans="1:4" x14ac:dyDescent="0.2">
      <c r="A7750">
        <v>7745</v>
      </c>
      <c r="B7750" s="15">
        <f>'EstExp 12-20'!K386</f>
        <v>0</v>
      </c>
      <c r="C7750" s="647">
        <f t="shared" si="99"/>
        <v>7745</v>
      </c>
      <c r="D7750" s="5" t="s">
        <v>788</v>
      </c>
    </row>
    <row r="7751" spans="1:4" x14ac:dyDescent="0.2">
      <c r="A7751">
        <v>7746</v>
      </c>
      <c r="B7751" s="15">
        <f>'EstExp 12-20'!K387</f>
        <v>0</v>
      </c>
      <c r="C7751" s="647">
        <f t="shared" si="99"/>
        <v>7746</v>
      </c>
      <c r="D7751" s="5" t="s">
        <v>788</v>
      </c>
    </row>
    <row r="7752" spans="1:4" x14ac:dyDescent="0.2">
      <c r="A7752">
        <v>7747</v>
      </c>
      <c r="B7752" s="15">
        <f>'EstExp 12-20'!K388</f>
        <v>0</v>
      </c>
      <c r="C7752" s="647">
        <f t="shared" si="99"/>
        <v>7747</v>
      </c>
      <c r="D7752" s="5" t="s">
        <v>788</v>
      </c>
    </row>
    <row r="7753" spans="1:4" x14ac:dyDescent="0.2">
      <c r="A7753">
        <v>7748</v>
      </c>
      <c r="B7753" s="15">
        <f>'EstExp 12-20'!L316</f>
        <v>0</v>
      </c>
      <c r="C7753" s="647">
        <f t="shared" si="99"/>
        <v>7748</v>
      </c>
      <c r="D7753" s="5" t="s">
        <v>788</v>
      </c>
    </row>
    <row r="7754" spans="1:4" x14ac:dyDescent="0.2">
      <c r="A7754">
        <v>7749</v>
      </c>
      <c r="B7754" s="15">
        <f>'EstExp 12-20'!L317</f>
        <v>0</v>
      </c>
      <c r="C7754" s="647">
        <f t="shared" si="99"/>
        <v>7749</v>
      </c>
      <c r="D7754" s="5" t="s">
        <v>788</v>
      </c>
    </row>
    <row r="7755" spans="1:4" x14ac:dyDescent="0.2">
      <c r="A7755">
        <v>7750</v>
      </c>
      <c r="B7755" s="15">
        <f>'EstExp 12-20'!L318</f>
        <v>0</v>
      </c>
      <c r="C7755" s="647">
        <f t="shared" si="99"/>
        <v>7750</v>
      </c>
      <c r="D7755" s="5" t="s">
        <v>788</v>
      </c>
    </row>
    <row r="7756" spans="1:4" x14ac:dyDescent="0.2">
      <c r="A7756">
        <v>7751</v>
      </c>
      <c r="B7756" s="15">
        <f>'EstExp 12-20'!L319</f>
        <v>0</v>
      </c>
      <c r="C7756" s="647">
        <f t="shared" si="99"/>
        <v>7751</v>
      </c>
      <c r="D7756" s="5" t="s">
        <v>788</v>
      </c>
    </row>
    <row r="7757" spans="1:4" x14ac:dyDescent="0.2">
      <c r="A7757">
        <v>7752</v>
      </c>
      <c r="B7757" s="15">
        <f>'EstExp 12-20'!L320</f>
        <v>0</v>
      </c>
      <c r="C7757" s="647">
        <f t="shared" si="99"/>
        <v>7752</v>
      </c>
      <c r="D7757" s="5" t="s">
        <v>788</v>
      </c>
    </row>
    <row r="7758" spans="1:4" x14ac:dyDescent="0.2">
      <c r="A7758">
        <v>7753</v>
      </c>
      <c r="B7758" s="15">
        <f>'EstExp 12-20'!L321</f>
        <v>0</v>
      </c>
      <c r="C7758" s="647">
        <f t="shared" si="99"/>
        <v>7753</v>
      </c>
      <c r="D7758" s="5" t="s">
        <v>788</v>
      </c>
    </row>
    <row r="7759" spans="1:4" x14ac:dyDescent="0.2">
      <c r="A7759">
        <v>7754</v>
      </c>
      <c r="B7759" s="15">
        <f>'EstExp 12-20'!L322</f>
        <v>0</v>
      </c>
      <c r="C7759" s="647">
        <f t="shared" si="99"/>
        <v>7754</v>
      </c>
      <c r="D7759" s="5" t="s">
        <v>788</v>
      </c>
    </row>
    <row r="7760" spans="1:4" x14ac:dyDescent="0.2">
      <c r="A7760">
        <v>7755</v>
      </c>
      <c r="B7760" s="15">
        <f>'EstExp 12-20'!L323</f>
        <v>0</v>
      </c>
      <c r="C7760" s="647">
        <f t="shared" si="99"/>
        <v>7755</v>
      </c>
      <c r="D7760" s="5" t="s">
        <v>788</v>
      </c>
    </row>
    <row r="7761" spans="1:4" x14ac:dyDescent="0.2">
      <c r="A7761">
        <v>7756</v>
      </c>
      <c r="B7761" s="15">
        <f>'EstExp 12-20'!L324</f>
        <v>0</v>
      </c>
      <c r="C7761" s="647">
        <f t="shared" si="99"/>
        <v>7756</v>
      </c>
      <c r="D7761" s="5" t="s">
        <v>788</v>
      </c>
    </row>
    <row r="7762" spans="1:4" x14ac:dyDescent="0.2">
      <c r="A7762">
        <v>7757</v>
      </c>
      <c r="B7762" s="15">
        <f>'EstExp 12-20'!L325</f>
        <v>0</v>
      </c>
      <c r="C7762" s="647">
        <f t="shared" si="99"/>
        <v>7757</v>
      </c>
      <c r="D7762" s="5" t="s">
        <v>788</v>
      </c>
    </row>
    <row r="7763" spans="1:4" x14ac:dyDescent="0.2">
      <c r="A7763">
        <v>7758</v>
      </c>
      <c r="B7763" s="15">
        <f>'EstExp 12-20'!L326</f>
        <v>0</v>
      </c>
      <c r="C7763" s="647">
        <f t="shared" si="99"/>
        <v>7758</v>
      </c>
      <c r="D7763" s="5" t="s">
        <v>788</v>
      </c>
    </row>
    <row r="7764" spans="1:4" x14ac:dyDescent="0.2">
      <c r="A7764">
        <v>7759</v>
      </c>
      <c r="B7764" s="15">
        <f>'EstExp 12-20'!L327</f>
        <v>0</v>
      </c>
      <c r="C7764" s="647">
        <f t="shared" si="99"/>
        <v>7759</v>
      </c>
      <c r="D7764" s="5" t="s">
        <v>788</v>
      </c>
    </row>
    <row r="7765" spans="1:4" x14ac:dyDescent="0.2">
      <c r="A7765">
        <v>7760</v>
      </c>
      <c r="B7765" s="15">
        <f>'EstExp 12-20'!L328</f>
        <v>0</v>
      </c>
      <c r="C7765" s="647">
        <f t="shared" si="99"/>
        <v>7760</v>
      </c>
      <c r="D7765" s="5" t="s">
        <v>788</v>
      </c>
    </row>
    <row r="7766" spans="1:4" x14ac:dyDescent="0.2">
      <c r="A7766">
        <v>7761</v>
      </c>
      <c r="B7766" s="15">
        <f>'EstExp 12-20'!L329</f>
        <v>0</v>
      </c>
      <c r="C7766" s="647">
        <f t="shared" si="99"/>
        <v>7761</v>
      </c>
      <c r="D7766" s="5" t="s">
        <v>788</v>
      </c>
    </row>
    <row r="7767" spans="1:4" x14ac:dyDescent="0.2">
      <c r="A7767">
        <v>7762</v>
      </c>
      <c r="B7767" s="15">
        <f>'EstExp 12-20'!L330</f>
        <v>0</v>
      </c>
      <c r="C7767" s="647">
        <f t="shared" si="99"/>
        <v>7762</v>
      </c>
      <c r="D7767" s="5" t="s">
        <v>788</v>
      </c>
    </row>
    <row r="7768" spans="1:4" x14ac:dyDescent="0.2">
      <c r="A7768">
        <v>7763</v>
      </c>
      <c r="B7768" s="15">
        <f>'EstExp 12-20'!L331</f>
        <v>0</v>
      </c>
      <c r="C7768" s="647">
        <f t="shared" si="99"/>
        <v>7763</v>
      </c>
      <c r="D7768" s="5" t="s">
        <v>788</v>
      </c>
    </row>
    <row r="7769" spans="1:4" x14ac:dyDescent="0.2">
      <c r="A7769">
        <v>7764</v>
      </c>
      <c r="B7769" s="15">
        <f>'EstExp 12-20'!L332</f>
        <v>0</v>
      </c>
      <c r="C7769" s="647">
        <f t="shared" si="99"/>
        <v>7764</v>
      </c>
      <c r="D7769" s="5" t="s">
        <v>788</v>
      </c>
    </row>
    <row r="7770" spans="1:4" x14ac:dyDescent="0.2">
      <c r="A7770">
        <v>7765</v>
      </c>
      <c r="B7770" s="15">
        <f>'EstExp 12-20'!L333</f>
        <v>0</v>
      </c>
      <c r="C7770" s="647">
        <f t="shared" si="99"/>
        <v>7765</v>
      </c>
      <c r="D7770" s="5" t="s">
        <v>788</v>
      </c>
    </row>
    <row r="7771" spans="1:4" x14ac:dyDescent="0.2">
      <c r="A7771">
        <v>7766</v>
      </c>
      <c r="B7771" s="15">
        <f>'EstExp 12-20'!L334</f>
        <v>0</v>
      </c>
      <c r="C7771" s="647">
        <f t="shared" si="99"/>
        <v>7766</v>
      </c>
      <c r="D7771" s="5" t="s">
        <v>788</v>
      </c>
    </row>
    <row r="7772" spans="1:4" x14ac:dyDescent="0.2">
      <c r="A7772">
        <v>7767</v>
      </c>
      <c r="B7772" s="15">
        <f>'EstExp 12-20'!L335</f>
        <v>0</v>
      </c>
      <c r="C7772" s="647">
        <f t="shared" si="99"/>
        <v>7767</v>
      </c>
      <c r="D7772" s="5" t="s">
        <v>788</v>
      </c>
    </row>
    <row r="7773" spans="1:4" x14ac:dyDescent="0.2">
      <c r="A7773">
        <v>7768</v>
      </c>
      <c r="B7773" s="15">
        <f>'EstExp 12-20'!L336</f>
        <v>0</v>
      </c>
      <c r="C7773" s="647">
        <f t="shared" si="99"/>
        <v>7768</v>
      </c>
      <c r="D7773" s="5" t="s">
        <v>788</v>
      </c>
    </row>
    <row r="7774" spans="1:4" x14ac:dyDescent="0.2">
      <c r="A7774">
        <v>7769</v>
      </c>
      <c r="B7774" s="15">
        <f>'EstExp 12-20'!L337</f>
        <v>0</v>
      </c>
      <c r="C7774" s="647">
        <f t="shared" si="99"/>
        <v>7769</v>
      </c>
      <c r="D7774" s="5" t="s">
        <v>788</v>
      </c>
    </row>
    <row r="7775" spans="1:4" x14ac:dyDescent="0.2">
      <c r="A7775">
        <v>7770</v>
      </c>
      <c r="B7775" s="15">
        <f>'EstExp 12-20'!L338</f>
        <v>0</v>
      </c>
      <c r="C7775" s="647">
        <f t="shared" si="99"/>
        <v>7770</v>
      </c>
      <c r="D7775" s="5" t="s">
        <v>788</v>
      </c>
    </row>
    <row r="7776" spans="1:4" x14ac:dyDescent="0.2">
      <c r="A7776">
        <v>7771</v>
      </c>
      <c r="B7776" s="15">
        <f>'EstExp 12-20'!L339</f>
        <v>0</v>
      </c>
      <c r="C7776" s="647">
        <f t="shared" si="99"/>
        <v>7771</v>
      </c>
      <c r="D7776" s="5" t="s">
        <v>788</v>
      </c>
    </row>
    <row r="7777" spans="1:4" x14ac:dyDescent="0.2">
      <c r="A7777">
        <v>7772</v>
      </c>
      <c r="B7777" s="15">
        <f>'EstExp 12-20'!L340</f>
        <v>0</v>
      </c>
      <c r="C7777" s="647">
        <f t="shared" si="99"/>
        <v>7772</v>
      </c>
      <c r="D7777" s="5" t="s">
        <v>788</v>
      </c>
    </row>
    <row r="7778" spans="1:4" x14ac:dyDescent="0.2">
      <c r="A7778">
        <v>7773</v>
      </c>
      <c r="B7778" s="15">
        <f>'EstExp 12-20'!L341</f>
        <v>0</v>
      </c>
      <c r="C7778" s="647">
        <f t="shared" si="99"/>
        <v>7773</v>
      </c>
      <c r="D7778" s="5" t="s">
        <v>788</v>
      </c>
    </row>
    <row r="7779" spans="1:4" x14ac:dyDescent="0.2">
      <c r="A7779">
        <v>7774</v>
      </c>
      <c r="B7779" s="15">
        <f>'EstExp 12-20'!L342</f>
        <v>0</v>
      </c>
      <c r="C7779" s="647">
        <f t="shared" si="99"/>
        <v>7774</v>
      </c>
      <c r="D7779" s="5" t="s">
        <v>788</v>
      </c>
    </row>
    <row r="7780" spans="1:4" x14ac:dyDescent="0.2">
      <c r="A7780">
        <v>7775</v>
      </c>
      <c r="B7780" s="15">
        <f>'EstExp 12-20'!L343</f>
        <v>0</v>
      </c>
      <c r="C7780" s="647">
        <f t="shared" si="99"/>
        <v>7775</v>
      </c>
      <c r="D7780" s="5" t="s">
        <v>788</v>
      </c>
    </row>
    <row r="7781" spans="1:4" x14ac:dyDescent="0.2">
      <c r="A7781">
        <v>7776</v>
      </c>
      <c r="B7781" s="15">
        <f>'EstExp 12-20'!L344</f>
        <v>0</v>
      </c>
      <c r="C7781" s="647">
        <f t="shared" si="99"/>
        <v>7776</v>
      </c>
      <c r="D7781" s="5" t="s">
        <v>788</v>
      </c>
    </row>
    <row r="7782" spans="1:4" x14ac:dyDescent="0.2">
      <c r="A7782">
        <v>7777</v>
      </c>
      <c r="B7782" s="15">
        <f>'EstExp 12-20'!L347</f>
        <v>0</v>
      </c>
      <c r="C7782" s="647">
        <f t="shared" si="99"/>
        <v>7777</v>
      </c>
      <c r="D7782" s="5" t="s">
        <v>788</v>
      </c>
    </row>
    <row r="7783" spans="1:4" x14ac:dyDescent="0.2">
      <c r="A7783">
        <v>7778</v>
      </c>
      <c r="B7783" s="15">
        <f>'EstExp 12-20'!L348</f>
        <v>0</v>
      </c>
      <c r="C7783" s="647">
        <f t="shared" si="99"/>
        <v>7778</v>
      </c>
      <c r="D7783" s="5" t="s">
        <v>788</v>
      </c>
    </row>
    <row r="7784" spans="1:4" x14ac:dyDescent="0.2">
      <c r="A7784">
        <v>7779</v>
      </c>
      <c r="B7784" s="15">
        <f>'EstExp 12-20'!L349</f>
        <v>0</v>
      </c>
      <c r="C7784" s="647">
        <f t="shared" si="99"/>
        <v>7779</v>
      </c>
      <c r="D7784" s="5" t="s">
        <v>788</v>
      </c>
    </row>
    <row r="7785" spans="1:4" x14ac:dyDescent="0.2">
      <c r="A7785">
        <v>7780</v>
      </c>
      <c r="B7785" s="15">
        <f>'EstExp 12-20'!L350</f>
        <v>0</v>
      </c>
      <c r="C7785" s="647">
        <f t="shared" si="99"/>
        <v>7780</v>
      </c>
      <c r="D7785" s="5" t="s">
        <v>788</v>
      </c>
    </row>
    <row r="7786" spans="1:4" x14ac:dyDescent="0.2">
      <c r="A7786">
        <v>7781</v>
      </c>
      <c r="B7786" s="15">
        <f>'EstExp 12-20'!L351</f>
        <v>0</v>
      </c>
      <c r="C7786" s="647">
        <f t="shared" si="99"/>
        <v>7781</v>
      </c>
      <c r="D7786" s="5" t="s">
        <v>788</v>
      </c>
    </row>
    <row r="7787" spans="1:4" x14ac:dyDescent="0.2">
      <c r="A7787">
        <v>7782</v>
      </c>
      <c r="B7787" s="15">
        <f>'EstExp 12-20'!L352</f>
        <v>0</v>
      </c>
      <c r="C7787" s="647">
        <f t="shared" si="99"/>
        <v>7782</v>
      </c>
      <c r="D7787" s="5" t="s">
        <v>788</v>
      </c>
    </row>
    <row r="7788" spans="1:4" x14ac:dyDescent="0.2">
      <c r="A7788">
        <v>7783</v>
      </c>
      <c r="B7788" s="15">
        <f>'EstExp 12-20'!L353</f>
        <v>0</v>
      </c>
      <c r="C7788" s="647">
        <f t="shared" si="99"/>
        <v>7783</v>
      </c>
      <c r="D7788" s="5" t="s">
        <v>788</v>
      </c>
    </row>
    <row r="7789" spans="1:4" x14ac:dyDescent="0.2">
      <c r="A7789">
        <v>7784</v>
      </c>
      <c r="B7789" s="15">
        <f>'EstExp 12-20'!L355</f>
        <v>0</v>
      </c>
      <c r="C7789" s="647">
        <f t="shared" si="99"/>
        <v>7784</v>
      </c>
      <c r="D7789" s="5" t="s">
        <v>788</v>
      </c>
    </row>
    <row r="7790" spans="1:4" x14ac:dyDescent="0.2">
      <c r="A7790">
        <v>7785</v>
      </c>
      <c r="B7790" s="15">
        <f>'EstExp 12-20'!L356</f>
        <v>0</v>
      </c>
      <c r="C7790" s="647">
        <f t="shared" si="99"/>
        <v>7785</v>
      </c>
      <c r="D7790" s="5" t="s">
        <v>788</v>
      </c>
    </row>
    <row r="7791" spans="1:4" x14ac:dyDescent="0.2">
      <c r="A7791">
        <v>7786</v>
      </c>
      <c r="B7791" s="15">
        <f>'EstExp 12-20'!L357</f>
        <v>0</v>
      </c>
      <c r="C7791" s="647">
        <f t="shared" si="99"/>
        <v>7786</v>
      </c>
      <c r="D7791" s="5" t="s">
        <v>788</v>
      </c>
    </row>
    <row r="7792" spans="1:4" x14ac:dyDescent="0.2">
      <c r="A7792">
        <v>7787</v>
      </c>
      <c r="B7792" s="15">
        <f>'EstExp 12-20'!L358</f>
        <v>0</v>
      </c>
      <c r="C7792" s="647">
        <f t="shared" si="99"/>
        <v>7787</v>
      </c>
      <c r="D7792" s="5" t="s">
        <v>788</v>
      </c>
    </row>
    <row r="7793" spans="1:4" x14ac:dyDescent="0.2">
      <c r="A7793">
        <v>7788</v>
      </c>
      <c r="B7793" s="15">
        <f>'EstExp 12-20'!L360</f>
        <v>360000</v>
      </c>
      <c r="C7793" s="647">
        <f t="shared" si="99"/>
        <v>-352212</v>
      </c>
      <c r="D7793" s="5" t="s">
        <v>788</v>
      </c>
    </row>
    <row r="7794" spans="1:4" x14ac:dyDescent="0.2">
      <c r="A7794">
        <v>7789</v>
      </c>
      <c r="B7794" s="15">
        <f>'EstExp 12-20'!L361</f>
        <v>0</v>
      </c>
      <c r="C7794" s="647">
        <f t="shared" si="99"/>
        <v>7789</v>
      </c>
      <c r="D7794" s="5" t="s">
        <v>788</v>
      </c>
    </row>
    <row r="7795" spans="1:4" x14ac:dyDescent="0.2">
      <c r="A7795">
        <v>7790</v>
      </c>
      <c r="B7795" s="15">
        <f>'EstExp 12-20'!L362</f>
        <v>0</v>
      </c>
      <c r="C7795" s="647">
        <f t="shared" si="99"/>
        <v>7790</v>
      </c>
      <c r="D7795" s="5" t="s">
        <v>788</v>
      </c>
    </row>
    <row r="7796" spans="1:4" x14ac:dyDescent="0.2">
      <c r="A7796">
        <v>7791</v>
      </c>
      <c r="B7796" s="15">
        <f>'EstExp 12-20'!L367</f>
        <v>0</v>
      </c>
      <c r="C7796" s="647">
        <f t="shared" si="99"/>
        <v>7791</v>
      </c>
      <c r="D7796" s="5" t="s">
        <v>788</v>
      </c>
    </row>
    <row r="7797" spans="1:4" x14ac:dyDescent="0.2">
      <c r="A7797">
        <v>7792</v>
      </c>
      <c r="B7797" s="15">
        <f>'EstExp 12-20'!L368</f>
        <v>0</v>
      </c>
      <c r="C7797" s="647">
        <f t="shared" si="99"/>
        <v>7792</v>
      </c>
      <c r="D7797" s="5" t="s">
        <v>788</v>
      </c>
    </row>
    <row r="7798" spans="1:4" x14ac:dyDescent="0.2">
      <c r="A7798">
        <v>7793</v>
      </c>
      <c r="B7798" s="15">
        <f>'EstExp 12-20'!L369</f>
        <v>0</v>
      </c>
      <c r="C7798" s="647">
        <f t="shared" si="99"/>
        <v>7793</v>
      </c>
      <c r="D7798" s="5" t="s">
        <v>788</v>
      </c>
    </row>
    <row r="7799" spans="1:4" x14ac:dyDescent="0.2">
      <c r="A7799">
        <v>7794</v>
      </c>
      <c r="B7799" s="15">
        <f>'EstExp 12-20'!L371</f>
        <v>0</v>
      </c>
      <c r="C7799" s="647">
        <f t="shared" si="99"/>
        <v>7794</v>
      </c>
      <c r="D7799" s="5" t="s">
        <v>788</v>
      </c>
    </row>
    <row r="7800" spans="1:4" x14ac:dyDescent="0.2">
      <c r="A7800">
        <v>7795</v>
      </c>
      <c r="B7800" s="15">
        <f>'EstExp 12-20'!L372</f>
        <v>0</v>
      </c>
      <c r="C7800" s="647">
        <f t="shared" si="99"/>
        <v>7795</v>
      </c>
      <c r="D7800" s="5" t="s">
        <v>788</v>
      </c>
    </row>
    <row r="7801" spans="1:4" x14ac:dyDescent="0.2">
      <c r="A7801">
        <v>7796</v>
      </c>
      <c r="B7801" s="15">
        <f>'EstExp 12-20'!L374</f>
        <v>0</v>
      </c>
      <c r="C7801" s="647">
        <f t="shared" si="99"/>
        <v>7796</v>
      </c>
      <c r="D7801" s="5" t="s">
        <v>788</v>
      </c>
    </row>
    <row r="7802" spans="1:4" x14ac:dyDescent="0.2">
      <c r="A7802">
        <v>7797</v>
      </c>
      <c r="B7802" s="15">
        <f>'EstExp 12-20'!L375</f>
        <v>0</v>
      </c>
      <c r="C7802" s="647">
        <f t="shared" si="99"/>
        <v>7797</v>
      </c>
      <c r="D7802" s="5" t="s">
        <v>788</v>
      </c>
    </row>
    <row r="7803" spans="1:4" x14ac:dyDescent="0.2">
      <c r="A7803">
        <v>7798</v>
      </c>
      <c r="B7803" s="15">
        <f>'EstExp 12-20'!L376</f>
        <v>0</v>
      </c>
      <c r="C7803" s="647">
        <f t="shared" si="99"/>
        <v>7798</v>
      </c>
      <c r="D7803" s="5" t="s">
        <v>788</v>
      </c>
    </row>
    <row r="7804" spans="1:4" x14ac:dyDescent="0.2">
      <c r="A7804">
        <v>7799</v>
      </c>
      <c r="B7804" s="15">
        <f>'EstExp 12-20'!L377</f>
        <v>0</v>
      </c>
      <c r="C7804" s="647">
        <f t="shared" si="99"/>
        <v>7799</v>
      </c>
      <c r="D7804" s="5" t="s">
        <v>788</v>
      </c>
    </row>
    <row r="7805" spans="1:4" x14ac:dyDescent="0.2">
      <c r="A7805">
        <v>7800</v>
      </c>
      <c r="B7805" s="15">
        <f>'EstExp 12-20'!L378</f>
        <v>0</v>
      </c>
      <c r="C7805" s="647">
        <f t="shared" si="99"/>
        <v>7800</v>
      </c>
      <c r="D7805" s="5" t="s">
        <v>788</v>
      </c>
    </row>
    <row r="7806" spans="1:4" x14ac:dyDescent="0.2">
      <c r="A7806">
        <v>7801</v>
      </c>
      <c r="B7806" s="15">
        <f>'EstExp 12-20'!L380</f>
        <v>0</v>
      </c>
      <c r="C7806" s="647">
        <f t="shared" si="99"/>
        <v>7801</v>
      </c>
      <c r="D7806" s="5" t="s">
        <v>788</v>
      </c>
    </row>
    <row r="7807" spans="1:4" x14ac:dyDescent="0.2">
      <c r="A7807">
        <v>7802</v>
      </c>
      <c r="B7807" s="15">
        <f>'EstExp 12-20'!L381</f>
        <v>0</v>
      </c>
      <c r="C7807" s="647">
        <f t="shared" si="99"/>
        <v>7802</v>
      </c>
      <c r="D7807" s="5" t="s">
        <v>788</v>
      </c>
    </row>
    <row r="7808" spans="1:4" x14ac:dyDescent="0.2">
      <c r="A7808">
        <v>7803</v>
      </c>
      <c r="B7808" s="15">
        <f>'EstExp 12-20'!L382</f>
        <v>0</v>
      </c>
      <c r="C7808" s="647">
        <f t="shared" si="99"/>
        <v>7803</v>
      </c>
      <c r="D7808" s="5" t="s">
        <v>788</v>
      </c>
    </row>
    <row r="7809" spans="1:4" x14ac:dyDescent="0.2">
      <c r="A7809">
        <v>7804</v>
      </c>
      <c r="B7809" s="15">
        <f>'EstExp 12-20'!L383</f>
        <v>0</v>
      </c>
      <c r="C7809" s="647">
        <f t="shared" si="99"/>
        <v>7804</v>
      </c>
      <c r="D7809" s="5" t="s">
        <v>788</v>
      </c>
    </row>
    <row r="7810" spans="1:4" x14ac:dyDescent="0.2">
      <c r="A7810">
        <v>7805</v>
      </c>
      <c r="B7810" s="15">
        <f>'EstExp 12-20'!L384</f>
        <v>0</v>
      </c>
      <c r="C7810" s="647">
        <f t="shared" si="99"/>
        <v>7805</v>
      </c>
      <c r="D7810" s="5" t="s">
        <v>788</v>
      </c>
    </row>
    <row r="7811" spans="1:4" x14ac:dyDescent="0.2">
      <c r="A7811">
        <v>7806</v>
      </c>
      <c r="B7811" s="15">
        <f>'EstExp 12-20'!L385</f>
        <v>0</v>
      </c>
      <c r="C7811" s="647">
        <f t="shared" si="99"/>
        <v>7806</v>
      </c>
      <c r="D7811" s="5" t="s">
        <v>788</v>
      </c>
    </row>
    <row r="7812" spans="1:4" x14ac:dyDescent="0.2">
      <c r="A7812">
        <v>7807</v>
      </c>
      <c r="B7812" s="15">
        <f>'EstExp 12-20'!L386</f>
        <v>0</v>
      </c>
      <c r="C7812" s="647">
        <f t="shared" ref="C7812:C7867" si="100">A7812-B7812</f>
        <v>7807</v>
      </c>
      <c r="D7812" s="5" t="s">
        <v>788</v>
      </c>
    </row>
    <row r="7813" spans="1:4" x14ac:dyDescent="0.2">
      <c r="A7813">
        <v>7808</v>
      </c>
      <c r="B7813" s="15">
        <f>'EstExp 12-20'!L387</f>
        <v>360000</v>
      </c>
      <c r="C7813" s="647">
        <f t="shared" si="100"/>
        <v>-352192</v>
      </c>
      <c r="D7813" s="5" t="s">
        <v>788</v>
      </c>
    </row>
    <row r="7814" spans="1:4" x14ac:dyDescent="0.2">
      <c r="A7814">
        <v>7809</v>
      </c>
      <c r="B7814" s="15">
        <f>'EstExp 12-20'!L388</f>
        <v>0</v>
      </c>
      <c r="C7814" s="647">
        <f t="shared" si="100"/>
        <v>7809</v>
      </c>
      <c r="D7814" s="5" t="s">
        <v>788</v>
      </c>
    </row>
    <row r="7815" spans="1:4" x14ac:dyDescent="0.2">
      <c r="A7815">
        <v>7810</v>
      </c>
      <c r="B7815" s="15">
        <f>'EstExp 12-20'!L393</f>
        <v>0</v>
      </c>
      <c r="C7815" s="647">
        <f t="shared" si="100"/>
        <v>7810</v>
      </c>
      <c r="D7815" s="5" t="s">
        <v>788</v>
      </c>
    </row>
    <row r="7816" spans="1:4" x14ac:dyDescent="0.2">
      <c r="A7816">
        <v>7811</v>
      </c>
      <c r="B7816" s="15">
        <f>'EstExp 12-20'!L394</f>
        <v>0</v>
      </c>
      <c r="C7816" s="647">
        <f t="shared" si="100"/>
        <v>7811</v>
      </c>
      <c r="D7816" s="5" t="s">
        <v>788</v>
      </c>
    </row>
    <row r="7817" spans="1:4" x14ac:dyDescent="0.2">
      <c r="A7817">
        <v>7812</v>
      </c>
      <c r="B7817" s="15">
        <f>'EstExp 12-20'!L395</f>
        <v>0</v>
      </c>
      <c r="C7817" s="647">
        <f t="shared" si="100"/>
        <v>7812</v>
      </c>
      <c r="D7817" s="5" t="s">
        <v>788</v>
      </c>
    </row>
    <row r="7818" spans="1:4" x14ac:dyDescent="0.2">
      <c r="A7818">
        <v>7813</v>
      </c>
      <c r="B7818" s="15">
        <f>'EstExp 12-20'!L396</f>
        <v>0</v>
      </c>
      <c r="C7818" s="647">
        <f t="shared" si="100"/>
        <v>7813</v>
      </c>
      <c r="D7818" s="5" t="s">
        <v>788</v>
      </c>
    </row>
    <row r="7819" spans="1:4" x14ac:dyDescent="0.2">
      <c r="A7819" s="3">
        <v>7814</v>
      </c>
      <c r="B7819" s="15"/>
      <c r="C7819" s="647"/>
      <c r="D7819" s="5" t="s">
        <v>797</v>
      </c>
    </row>
    <row r="7820" spans="1:4" x14ac:dyDescent="0.2">
      <c r="A7820">
        <v>7815</v>
      </c>
      <c r="B7820" s="15">
        <f>'EstExp 12-20'!L398</f>
        <v>0</v>
      </c>
      <c r="C7820" s="647">
        <f t="shared" si="100"/>
        <v>7815</v>
      </c>
      <c r="D7820" s="5" t="s">
        <v>788</v>
      </c>
    </row>
    <row r="7821" spans="1:4" x14ac:dyDescent="0.2">
      <c r="A7821">
        <v>7816</v>
      </c>
      <c r="B7821" s="15">
        <f>'EstExp 12-20'!L399</f>
        <v>0</v>
      </c>
      <c r="C7821" s="647">
        <f t="shared" si="100"/>
        <v>7816</v>
      </c>
      <c r="D7821" s="5" t="s">
        <v>788</v>
      </c>
    </row>
    <row r="7822" spans="1:4" x14ac:dyDescent="0.2">
      <c r="A7822">
        <v>7817</v>
      </c>
      <c r="B7822" s="15">
        <f>'EstExp 12-20'!L400</f>
        <v>0</v>
      </c>
      <c r="C7822" s="647">
        <f t="shared" si="100"/>
        <v>7817</v>
      </c>
      <c r="D7822" s="5" t="s">
        <v>788</v>
      </c>
    </row>
    <row r="7823" spans="1:4" x14ac:dyDescent="0.2">
      <c r="A7823">
        <v>7818</v>
      </c>
      <c r="B7823" s="15">
        <f>'EstExp 12-20'!L401</f>
        <v>0</v>
      </c>
      <c r="C7823" s="647">
        <f t="shared" si="100"/>
        <v>7818</v>
      </c>
      <c r="D7823" s="5" t="s">
        <v>788</v>
      </c>
    </row>
    <row r="7824" spans="1:4" x14ac:dyDescent="0.2">
      <c r="A7824">
        <v>7819</v>
      </c>
      <c r="B7824" s="15">
        <f>'EstExp 12-20'!L402</f>
        <v>0</v>
      </c>
      <c r="C7824" s="647">
        <f t="shared" si="100"/>
        <v>7819</v>
      </c>
      <c r="D7824" s="5" t="s">
        <v>788</v>
      </c>
    </row>
    <row r="7825" spans="1:4" x14ac:dyDescent="0.2">
      <c r="A7825">
        <v>7820</v>
      </c>
      <c r="B7825" s="15">
        <f>'EstExp 12-20'!L403</f>
        <v>0</v>
      </c>
      <c r="C7825" s="647">
        <f t="shared" si="100"/>
        <v>7820</v>
      </c>
      <c r="D7825" s="5" t="s">
        <v>788</v>
      </c>
    </row>
    <row r="7826" spans="1:4" x14ac:dyDescent="0.2">
      <c r="A7826">
        <v>7821</v>
      </c>
      <c r="B7826" s="15">
        <f>'EstExp 12-20'!L404</f>
        <v>0</v>
      </c>
      <c r="C7826" s="647">
        <f t="shared" si="100"/>
        <v>7821</v>
      </c>
      <c r="D7826" s="5" t="s">
        <v>788</v>
      </c>
    </row>
    <row r="7827" spans="1:4" x14ac:dyDescent="0.2">
      <c r="A7827">
        <v>7822</v>
      </c>
      <c r="B7827" s="15">
        <f>'EstExp 12-20'!L405</f>
        <v>0</v>
      </c>
      <c r="C7827" s="647">
        <f t="shared" si="100"/>
        <v>7822</v>
      </c>
      <c r="D7827" s="5" t="s">
        <v>788</v>
      </c>
    </row>
    <row r="7828" spans="1:4" x14ac:dyDescent="0.2">
      <c r="A7828">
        <v>7823</v>
      </c>
      <c r="B7828" s="15">
        <f>'EstExp 12-20'!L406</f>
        <v>0</v>
      </c>
      <c r="C7828" s="647">
        <f t="shared" si="100"/>
        <v>7823</v>
      </c>
      <c r="D7828" s="5" t="s">
        <v>788</v>
      </c>
    </row>
    <row r="7829" spans="1:4" x14ac:dyDescent="0.2">
      <c r="A7829">
        <v>7824</v>
      </c>
      <c r="B7829" s="15">
        <f>'EstExp 12-20'!L407</f>
        <v>0</v>
      </c>
      <c r="C7829" s="647">
        <f t="shared" si="100"/>
        <v>7824</v>
      </c>
      <c r="D7829" s="5" t="s">
        <v>788</v>
      </c>
    </row>
    <row r="7830" spans="1:4" x14ac:dyDescent="0.2">
      <c r="A7830">
        <v>7825</v>
      </c>
      <c r="B7830" s="15">
        <f>'EstExp 12-20'!L408</f>
        <v>0</v>
      </c>
      <c r="C7830" s="647">
        <f t="shared" si="100"/>
        <v>7825</v>
      </c>
      <c r="D7830" s="5" t="s">
        <v>788</v>
      </c>
    </row>
    <row r="7831" spans="1:4" x14ac:dyDescent="0.2">
      <c r="A7831">
        <v>7826</v>
      </c>
      <c r="B7831" s="15">
        <f>'EstExp 12-20'!L409</f>
        <v>0</v>
      </c>
      <c r="C7831" s="647">
        <f t="shared" si="100"/>
        <v>7826</v>
      </c>
      <c r="D7831" s="5" t="s">
        <v>788</v>
      </c>
    </row>
    <row r="7832" spans="1:4" x14ac:dyDescent="0.2">
      <c r="A7832">
        <v>7827</v>
      </c>
      <c r="B7832" s="15">
        <f>'EstExp 12-20'!L410</f>
        <v>0</v>
      </c>
      <c r="C7832" s="647">
        <f t="shared" si="100"/>
        <v>7827</v>
      </c>
      <c r="D7832" s="5" t="s">
        <v>788</v>
      </c>
    </row>
    <row r="7833" spans="1:4" x14ac:dyDescent="0.2">
      <c r="A7833">
        <v>7828</v>
      </c>
      <c r="B7833" s="15">
        <f>'EstExp 12-20'!L411</f>
        <v>0</v>
      </c>
      <c r="C7833" s="647">
        <f t="shared" si="100"/>
        <v>7828</v>
      </c>
      <c r="D7833" s="5" t="s">
        <v>788</v>
      </c>
    </row>
    <row r="7834" spans="1:4" x14ac:dyDescent="0.2">
      <c r="A7834">
        <v>7829</v>
      </c>
      <c r="B7834" s="15">
        <f>'EstExp 12-20'!L412</f>
        <v>0</v>
      </c>
      <c r="C7834" s="647">
        <f t="shared" si="100"/>
        <v>7829</v>
      </c>
      <c r="D7834" s="5" t="s">
        <v>788</v>
      </c>
    </row>
    <row r="7835" spans="1:4" x14ac:dyDescent="0.2">
      <c r="A7835">
        <v>7830</v>
      </c>
      <c r="B7835" s="15">
        <f>'EstExp 12-20'!L413</f>
        <v>0</v>
      </c>
      <c r="C7835" s="647">
        <f t="shared" si="100"/>
        <v>7830</v>
      </c>
      <c r="D7835" s="5" t="s">
        <v>788</v>
      </c>
    </row>
    <row r="7836" spans="1:4" x14ac:dyDescent="0.2">
      <c r="A7836">
        <v>7831</v>
      </c>
      <c r="B7836" s="15">
        <f>'EstExp 12-20'!L414</f>
        <v>0</v>
      </c>
      <c r="C7836" s="647">
        <f t="shared" si="100"/>
        <v>7831</v>
      </c>
      <c r="D7836" s="5" t="s">
        <v>788</v>
      </c>
    </row>
    <row r="7837" spans="1:4" x14ac:dyDescent="0.2">
      <c r="A7837">
        <v>7832</v>
      </c>
      <c r="B7837" s="15">
        <f>'EstExp 12-20'!H355</f>
        <v>0</v>
      </c>
      <c r="C7837" s="647">
        <f t="shared" si="100"/>
        <v>7832</v>
      </c>
      <c r="D7837" s="5" t="s">
        <v>788</v>
      </c>
    </row>
    <row r="7838" spans="1:4" x14ac:dyDescent="0.2">
      <c r="A7838">
        <v>7833</v>
      </c>
      <c r="B7838" s="15">
        <f>'EstExp 12-20'!F391</f>
        <v>0</v>
      </c>
      <c r="C7838" s="647">
        <f t="shared" si="100"/>
        <v>7833</v>
      </c>
      <c r="D7838" s="5" t="s">
        <v>789</v>
      </c>
    </row>
    <row r="7839" spans="1:4" x14ac:dyDescent="0.2">
      <c r="A7839">
        <v>7834</v>
      </c>
      <c r="B7839" s="15">
        <f>'EstExp 12-20'!F392</f>
        <v>0</v>
      </c>
      <c r="C7839" s="647">
        <f t="shared" si="100"/>
        <v>7834</v>
      </c>
      <c r="D7839" s="5" t="s">
        <v>789</v>
      </c>
    </row>
    <row r="7840" spans="1:4" x14ac:dyDescent="0.2">
      <c r="A7840">
        <v>7835</v>
      </c>
      <c r="B7840" s="15">
        <f>'EstExp 12-20'!K365</f>
        <v>0</v>
      </c>
      <c r="C7840" s="647">
        <f t="shared" si="100"/>
        <v>7835</v>
      </c>
      <c r="D7840" s="5" t="s">
        <v>789</v>
      </c>
    </row>
    <row r="7841" spans="1:4" x14ac:dyDescent="0.2">
      <c r="A7841">
        <v>7836</v>
      </c>
      <c r="B7841" s="15">
        <f>'EstExp 12-20'!K428</f>
        <v>0</v>
      </c>
      <c r="C7841" s="647">
        <f t="shared" si="100"/>
        <v>7836</v>
      </c>
      <c r="D7841" s="5" t="s">
        <v>789</v>
      </c>
    </row>
    <row r="7842" spans="1:4" x14ac:dyDescent="0.2">
      <c r="A7842">
        <v>7837</v>
      </c>
      <c r="B7842" s="15">
        <f>'EstExp 12-20'!K35</f>
        <v>0</v>
      </c>
      <c r="C7842" s="647">
        <f t="shared" si="100"/>
        <v>7837</v>
      </c>
      <c r="D7842" s="5" t="s">
        <v>788</v>
      </c>
    </row>
    <row r="7843" spans="1:4" x14ac:dyDescent="0.2">
      <c r="A7843">
        <v>7838</v>
      </c>
      <c r="B7843" s="15">
        <f>'EstRev 6-11'!D271</f>
        <v>79244000</v>
      </c>
      <c r="C7843" s="647">
        <f t="shared" si="100"/>
        <v>-79236162</v>
      </c>
      <c r="D7843" s="5" t="s">
        <v>799</v>
      </c>
    </row>
    <row r="7844" spans="1:4" x14ac:dyDescent="0.2">
      <c r="A7844">
        <v>7839</v>
      </c>
      <c r="B7844" s="15">
        <f>'BudgetSum 2-4'!J105</f>
        <v>0</v>
      </c>
      <c r="C7844" s="647">
        <f t="shared" si="100"/>
        <v>7839</v>
      </c>
      <c r="D7844" s="5" t="s">
        <v>800</v>
      </c>
    </row>
    <row r="7845" spans="1:4" x14ac:dyDescent="0.2">
      <c r="A7845">
        <v>7840</v>
      </c>
      <c r="B7845" s="15">
        <f>'BudgetSum 2-4'!J106</f>
        <v>0</v>
      </c>
      <c r="C7845" s="647">
        <f t="shared" si="100"/>
        <v>7840</v>
      </c>
      <c r="D7845" s="5" t="s">
        <v>800</v>
      </c>
    </row>
    <row r="7846" spans="1:4" x14ac:dyDescent="0.2">
      <c r="A7846">
        <v>7841</v>
      </c>
      <c r="B7846" s="15">
        <f>'EstRev 6-11'!D105</f>
        <v>0</v>
      </c>
      <c r="C7846" s="647">
        <f t="shared" si="100"/>
        <v>7841</v>
      </c>
      <c r="D7846" s="5" t="s">
        <v>3074</v>
      </c>
    </row>
    <row r="7847" spans="1:4" x14ac:dyDescent="0.2">
      <c r="A7847">
        <v>7842</v>
      </c>
      <c r="B7847" s="15">
        <f>'EstExp 12-20'!D373</f>
        <v>0</v>
      </c>
      <c r="C7847" s="1616">
        <f t="shared" si="100"/>
        <v>7842</v>
      </c>
      <c r="D7847" s="1617" t="s">
        <v>3129</v>
      </c>
    </row>
    <row r="7848" spans="1:4" x14ac:dyDescent="0.2">
      <c r="A7848">
        <v>7843</v>
      </c>
      <c r="B7848" s="1615">
        <f>'EstExp 12-20'!E373</f>
        <v>0</v>
      </c>
      <c r="C7848" s="647">
        <f t="shared" si="100"/>
        <v>7843</v>
      </c>
      <c r="D7848" s="5" t="s">
        <v>3129</v>
      </c>
    </row>
    <row r="7849" spans="1:4" x14ac:dyDescent="0.2">
      <c r="A7849">
        <v>7844</v>
      </c>
      <c r="B7849" s="1615">
        <f>'EstExp 12-20'!F373</f>
        <v>0</v>
      </c>
      <c r="C7849" s="647">
        <f t="shared" si="100"/>
        <v>7844</v>
      </c>
      <c r="D7849" s="5" t="s">
        <v>3129</v>
      </c>
    </row>
    <row r="7850" spans="1:4" x14ac:dyDescent="0.2">
      <c r="A7850">
        <v>7845</v>
      </c>
      <c r="B7850" s="1615">
        <f>'EstExp 12-20'!G373</f>
        <v>0</v>
      </c>
      <c r="C7850" s="647">
        <f t="shared" si="100"/>
        <v>7845</v>
      </c>
      <c r="D7850" s="5" t="s">
        <v>3129</v>
      </c>
    </row>
    <row r="7851" spans="1:4" x14ac:dyDescent="0.2">
      <c r="A7851">
        <v>7846</v>
      </c>
      <c r="B7851" s="1615">
        <f>'EstExp 12-20'!H373</f>
        <v>0</v>
      </c>
      <c r="C7851" s="647">
        <f t="shared" si="100"/>
        <v>7846</v>
      </c>
      <c r="D7851" s="5" t="s">
        <v>3129</v>
      </c>
    </row>
    <row r="7852" spans="1:4" x14ac:dyDescent="0.2">
      <c r="A7852">
        <v>7847</v>
      </c>
      <c r="B7852" s="1615">
        <f>'EstExp 12-20'!I373</f>
        <v>0</v>
      </c>
      <c r="C7852" s="647">
        <f t="shared" si="100"/>
        <v>7847</v>
      </c>
      <c r="D7852" s="5" t="s">
        <v>3129</v>
      </c>
    </row>
    <row r="7853" spans="1:4" x14ac:dyDescent="0.2">
      <c r="A7853">
        <v>7848</v>
      </c>
      <c r="B7853" s="1615">
        <f>'EstExp 12-20'!J373</f>
        <v>0</v>
      </c>
      <c r="C7853" s="647">
        <f t="shared" si="100"/>
        <v>7848</v>
      </c>
      <c r="D7853" s="5" t="s">
        <v>3129</v>
      </c>
    </row>
    <row r="7854" spans="1:4" x14ac:dyDescent="0.2">
      <c r="A7854">
        <v>7849</v>
      </c>
      <c r="B7854" s="1615">
        <f>'EstExp 12-20'!K373</f>
        <v>0</v>
      </c>
      <c r="C7854" s="647">
        <f t="shared" si="100"/>
        <v>7849</v>
      </c>
      <c r="D7854" s="5" t="s">
        <v>3129</v>
      </c>
    </row>
    <row r="7855" spans="1:4" x14ac:dyDescent="0.2">
      <c r="A7855">
        <v>7850</v>
      </c>
      <c r="B7855" s="1615">
        <f>'EstExp 12-20'!L373</f>
        <v>0</v>
      </c>
      <c r="C7855" s="647">
        <f t="shared" si="100"/>
        <v>7850</v>
      </c>
      <c r="D7855" s="5" t="s">
        <v>3129</v>
      </c>
    </row>
    <row r="7856" spans="1:4" x14ac:dyDescent="0.2">
      <c r="A7856">
        <v>7851</v>
      </c>
      <c r="B7856" s="1615">
        <f>'EstExp 12-20'!I419</f>
        <v>0</v>
      </c>
      <c r="C7856" s="647">
        <f t="shared" si="100"/>
        <v>7851</v>
      </c>
      <c r="D7856" s="5" t="s">
        <v>3129</v>
      </c>
    </row>
    <row r="7857" spans="1:4" x14ac:dyDescent="0.2">
      <c r="A7857">
        <v>7852</v>
      </c>
      <c r="B7857" s="1615">
        <f>'EstExp 12-20'!L419</f>
        <v>0</v>
      </c>
      <c r="C7857" s="647">
        <f t="shared" si="100"/>
        <v>7852</v>
      </c>
      <c r="D7857" s="5" t="s">
        <v>3129</v>
      </c>
    </row>
    <row r="7858" spans="1:4" x14ac:dyDescent="0.2">
      <c r="A7858">
        <v>7853</v>
      </c>
      <c r="B7858" s="1615">
        <f>'EstExp 12-20'!I421</f>
        <v>0</v>
      </c>
      <c r="C7858" s="647">
        <f t="shared" si="100"/>
        <v>7853</v>
      </c>
      <c r="D7858" s="5" t="s">
        <v>3129</v>
      </c>
    </row>
    <row r="7859" spans="1:4" x14ac:dyDescent="0.2">
      <c r="A7859">
        <v>7854</v>
      </c>
      <c r="B7859" s="1615">
        <f>'EstExp 12-20'!L421</f>
        <v>0</v>
      </c>
      <c r="C7859" s="647">
        <f t="shared" si="100"/>
        <v>7854</v>
      </c>
      <c r="D7859" s="5" t="s">
        <v>3129</v>
      </c>
    </row>
    <row r="7860" spans="1:4" x14ac:dyDescent="0.2">
      <c r="A7860">
        <v>7855</v>
      </c>
      <c r="B7860" s="1615">
        <f>'EstExp 12-20'!I423</f>
        <v>0</v>
      </c>
      <c r="C7860" s="647">
        <f t="shared" si="100"/>
        <v>7855</v>
      </c>
      <c r="D7860" s="5" t="s">
        <v>3129</v>
      </c>
    </row>
    <row r="7861" spans="1:4" x14ac:dyDescent="0.2">
      <c r="A7861">
        <v>7856</v>
      </c>
      <c r="B7861" s="1615">
        <f>'EstExp 12-20'!L423</f>
        <v>0</v>
      </c>
      <c r="C7861" s="647">
        <f t="shared" si="100"/>
        <v>7856</v>
      </c>
      <c r="D7861" s="5" t="s">
        <v>3129</v>
      </c>
    </row>
    <row r="7862" spans="1:4" x14ac:dyDescent="0.2">
      <c r="A7862">
        <v>7857</v>
      </c>
      <c r="B7862" s="1615">
        <f>'EstExp 12-20'!I424</f>
        <v>0</v>
      </c>
      <c r="C7862" s="647">
        <f t="shared" si="100"/>
        <v>7857</v>
      </c>
      <c r="D7862" s="5" t="s">
        <v>3129</v>
      </c>
    </row>
    <row r="7863" spans="1:4" x14ac:dyDescent="0.2">
      <c r="A7863">
        <v>7858</v>
      </c>
      <c r="B7863" s="1615">
        <f>'EstExp 12-20'!L424</f>
        <v>0</v>
      </c>
      <c r="C7863" s="647">
        <f t="shared" si="100"/>
        <v>7858</v>
      </c>
      <c r="D7863" s="5" t="s">
        <v>3129</v>
      </c>
    </row>
    <row r="7864" spans="1:4" x14ac:dyDescent="0.2">
      <c r="A7864">
        <v>7859</v>
      </c>
      <c r="B7864" s="1615">
        <f>'EstExp 12-20'!F425</f>
        <v>0</v>
      </c>
      <c r="C7864" s="647">
        <f t="shared" si="100"/>
        <v>7859</v>
      </c>
      <c r="D7864" s="5" t="s">
        <v>3129</v>
      </c>
    </row>
    <row r="7865" spans="1:4" x14ac:dyDescent="0.2">
      <c r="A7865">
        <v>7860</v>
      </c>
      <c r="B7865" s="1615">
        <f>'EstExp 12-20'!I425</f>
        <v>0</v>
      </c>
      <c r="C7865" s="647">
        <f t="shared" si="100"/>
        <v>7860</v>
      </c>
      <c r="D7865" s="5" t="s">
        <v>3129</v>
      </c>
    </row>
    <row r="7866" spans="1:4" x14ac:dyDescent="0.2">
      <c r="A7866">
        <v>7861</v>
      </c>
      <c r="B7866" s="1615">
        <f>'EstExp 12-20'!L425</f>
        <v>0</v>
      </c>
      <c r="C7866" s="647">
        <f t="shared" si="100"/>
        <v>7861</v>
      </c>
      <c r="D7866" s="5" t="s">
        <v>3129</v>
      </c>
    </row>
    <row r="7867" spans="1:4" x14ac:dyDescent="0.2">
      <c r="A7867">
        <v>7862</v>
      </c>
      <c r="B7867" s="1615">
        <f>'EstExp 12-20'!F426</f>
        <v>0</v>
      </c>
      <c r="C7867" s="647">
        <f t="shared" si="100"/>
        <v>7862</v>
      </c>
      <c r="D7867" s="5" t="s">
        <v>3129</v>
      </c>
    </row>
    <row r="7868" spans="1:4" x14ac:dyDescent="0.2">
      <c r="A7868">
        <v>7863</v>
      </c>
    </row>
    <row r="7869" spans="1:4" x14ac:dyDescent="0.2">
      <c r="A7869">
        <v>7864</v>
      </c>
    </row>
    <row r="7870" spans="1:4" x14ac:dyDescent="0.2">
      <c r="A7870">
        <v>7865</v>
      </c>
    </row>
    <row r="7871" spans="1:4" x14ac:dyDescent="0.2">
      <c r="A7871">
        <v>7866</v>
      </c>
    </row>
    <row r="7872" spans="1:4"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wTRxbok9b/EMcmN2mMVpNHussuo20DmdYCnjf1OtL/6ILt1W8m75QBP181dLLJVC4YMNBglFV4RyhXpVJiF2Hw==" saltValue="vmQt5zQXrlvQcXzbrtgK0Q==" spinCount="100000" sheet="1" objects="1" scenarios="1"/>
  <autoFilter ref="A1:E8000" xr:uid="{00000000-0009-0000-0000-00000D000000}"/>
  <phoneticPr fontId="6"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29" r:id="rId4" name="Button 1">
              <controlPr defaultSize="0" print="0" autoFill="0" autoPict="0" macro="[0]!SaveBgtToLoad">
                <anchor moveWithCells="1" sizeWithCells="1">
                  <from>
                    <xdr:col>4</xdr:col>
                    <xdr:colOff>9525</xdr:colOff>
                    <xdr:row>22</xdr:row>
                    <xdr:rowOff>152400</xdr:rowOff>
                  </from>
                  <to>
                    <xdr:col>9</xdr:col>
                    <xdr:colOff>76200</xdr:colOff>
                    <xdr:row>25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C9A169F-CE27-4DD8-9BDC-550E53CDE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http://schemas.microsoft.com/office/2006/documentManagement/types"/>
    <ds:schemaRef ds:uri="http://schemas.openxmlformats.org/package/2006/metadata/core-properties"/>
    <ds:schemaRef ds:uri="http://www.w3.org/XML/1998/namespace"/>
    <ds:schemaRef ds:uri="http://schemas.microsoft.com/sharepoint/v3"/>
    <ds:schemaRef ds:uri="4d435f69-8686-490b-bd6d-b153bf22ab50"/>
    <ds:schemaRef ds:uri="http://purl.org/dc/elements/1.1/"/>
    <ds:schemaRef ds:uri="http://purl.org/dc/dcmitype/"/>
    <ds:schemaRef ds:uri="http://purl.org/dc/terms/"/>
    <ds:schemaRef ds:uri="http://schemas.microsoft.com/office/infopath/2007/PartnerControls"/>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District Dropdown</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B23</vt:lpstr>
      <vt:lpstr>ChosenDistrict</vt:lpstr>
      <vt:lpstr>DashedRCDTHidden</vt:lpstr>
      <vt:lpstr>Balancing!Print_Area</vt:lpstr>
      <vt:lpstr>'Bckgrnd-Assumpt 28-29'!Print_Area</vt:lpstr>
      <vt:lpstr>'BudgetSum 2-4'!Print_Area</vt:lpstr>
      <vt:lpstr>'CashSum 5'!Print_Area</vt:lpstr>
      <vt:lpstr>Cover!Print_Area</vt:lpstr>
      <vt:lpstr>'DeficitBudgetSum Calc 22'!Print_Area</vt:lpstr>
      <vt:lpstr>'DefReductPlan 23-27'!Print_Area</vt:lpstr>
      <vt:lpstr>'EstExp 12-20'!Print_Area</vt:lpstr>
      <vt:lpstr>'BudgetSum 2-4'!Print_Titles</vt:lpstr>
      <vt:lpstr>'DefReductPlan 23-27'!Print_Titles</vt:lpstr>
      <vt:lpstr>'EstExp 12-20'!Print_Titles</vt:lpstr>
      <vt:lpstr>'EstRev 6-11'!Print_Titles</vt:lpstr>
      <vt:lpstr>School_District</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SDJAB2023FORM (v3 -Locked-NoMacro-8-19-2022).xlsx</dc:title>
  <dc:creator>DHemberger</dc:creator>
  <cp:lastModifiedBy>Rodino, Mary</cp:lastModifiedBy>
  <cp:lastPrinted>2022-10-12T20:41:18Z</cp:lastPrinted>
  <dcterms:created xsi:type="dcterms:W3CDTF">2001-01-31T16:14:51Z</dcterms:created>
  <dcterms:modified xsi:type="dcterms:W3CDTF">2022-10-12T20:41:31Z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